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Люда\Desktop\сайт24-25\"/>
    </mc:Choice>
  </mc:AlternateContent>
  <bookViews>
    <workbookView xWindow="0" yWindow="0" windowWidth="20490" windowHeight="7050" firstSheet="1" activeTab="2"/>
    <workbookView xWindow="-105" yWindow="-105" windowWidth="23250" windowHeight="12570" activeTab="2"/>
  </bookViews>
  <sheets>
    <sheet name="Исх.меню " sheetId="11" r:id="rId1"/>
    <sheet name="Структура в сравнении" sheetId="10" r:id="rId2"/>
    <sheet name="Проект_Меню ХЭХ ЖКТ" sheetId="1" r:id="rId3"/>
    <sheet name="Соотношение ЭЦ" sheetId="3" r:id="rId4"/>
  </sheets>
  <definedNames>
    <definedName name="_xlnm._FilterDatabase" localSheetId="0" hidden="1">'Исх.меню '!$A$7:$O$193</definedName>
    <definedName name="_xlnm._FilterDatabase" localSheetId="2" hidden="1">'Проект_Меню ХЭХ ЖКТ'!$A$8:$O$286</definedName>
    <definedName name="_xlnm._FilterDatabase" localSheetId="1" hidden="1">'Структура в сравнении'!$A$7:$A$84</definedName>
    <definedName name="_xlnm.Print_Area" localSheetId="0">'Исх.меню '!$A$3:$O$211</definedName>
    <definedName name="_xlnm.Print_Area" localSheetId="2">'Проект_Меню ХЭХ ЖКТ'!$A$1:$O$311</definedName>
    <definedName name="_xlnm.Print_Area" localSheetId="3">'Соотношение ЭЦ'!$A$1:$O$67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5" i="1" l="1"/>
  <c r="D268" i="1"/>
  <c r="D285" i="1" s="1"/>
  <c r="E268" i="1"/>
  <c r="D18" i="3" s="1"/>
  <c r="F268" i="1"/>
  <c r="F285" i="1" s="1"/>
  <c r="G268" i="1"/>
  <c r="F18" i="3" s="1"/>
  <c r="H268" i="1"/>
  <c r="H285" i="1" s="1"/>
  <c r="I268" i="1"/>
  <c r="I285" i="1" s="1"/>
  <c r="J268" i="1"/>
  <c r="J285" i="1" s="1"/>
  <c r="K268" i="1"/>
  <c r="K285" i="1" s="1"/>
  <c r="L268" i="1"/>
  <c r="M268" i="1"/>
  <c r="M285" i="1" s="1"/>
  <c r="N268" i="1"/>
  <c r="N285" i="1" s="1"/>
  <c r="O268" i="1"/>
  <c r="O285" i="1" s="1"/>
  <c r="C268" i="1"/>
  <c r="C285" i="1" s="1"/>
  <c r="D251" i="1"/>
  <c r="E251" i="1"/>
  <c r="D47" i="3" s="1"/>
  <c r="F251" i="1"/>
  <c r="E47" i="3" s="1"/>
  <c r="G251" i="1"/>
  <c r="F47" i="3" s="1"/>
  <c r="H251" i="1"/>
  <c r="I251" i="1"/>
  <c r="J251" i="1"/>
  <c r="K251" i="1"/>
  <c r="L251" i="1"/>
  <c r="M251" i="1"/>
  <c r="N251" i="1"/>
  <c r="O251" i="1"/>
  <c r="C251" i="1"/>
  <c r="C45" i="3"/>
  <c r="F45" i="3"/>
  <c r="D137" i="1"/>
  <c r="C43" i="3" s="1"/>
  <c r="E137" i="1"/>
  <c r="E142" i="1" s="1"/>
  <c r="F137" i="1"/>
  <c r="F142" i="1" s="1"/>
  <c r="G137" i="1"/>
  <c r="F43" i="3" s="1"/>
  <c r="H137" i="1"/>
  <c r="H142" i="1" s="1"/>
  <c r="I137" i="1"/>
  <c r="I142" i="1" s="1"/>
  <c r="J137" i="1"/>
  <c r="J142" i="1" s="1"/>
  <c r="K137" i="1"/>
  <c r="L137" i="1"/>
  <c r="M137" i="1"/>
  <c r="M142" i="1" s="1"/>
  <c r="N137" i="1"/>
  <c r="N142" i="1" s="1"/>
  <c r="O137" i="1"/>
  <c r="O142" i="1" s="1"/>
  <c r="C137" i="1"/>
  <c r="C142" i="1" s="1"/>
  <c r="D115" i="1"/>
  <c r="E115" i="1"/>
  <c r="F115" i="1"/>
  <c r="G115" i="1"/>
  <c r="H115" i="1"/>
  <c r="I115" i="1"/>
  <c r="J115" i="1"/>
  <c r="K115" i="1"/>
  <c r="L115" i="1"/>
  <c r="M115" i="1"/>
  <c r="N115" i="1"/>
  <c r="O115" i="1"/>
  <c r="C40" i="1"/>
  <c r="C57" i="1" s="1"/>
  <c r="E40" i="1"/>
  <c r="E57" i="1" s="1"/>
  <c r="F40" i="1"/>
  <c r="E10" i="3" s="1"/>
  <c r="G40" i="1"/>
  <c r="G57" i="1" s="1"/>
  <c r="H40" i="1"/>
  <c r="H57" i="1" s="1"/>
  <c r="I40" i="1"/>
  <c r="I57" i="1" s="1"/>
  <c r="J40" i="1"/>
  <c r="K40" i="1"/>
  <c r="K57" i="1" s="1"/>
  <c r="L40" i="1"/>
  <c r="M40" i="1"/>
  <c r="M57" i="1" s="1"/>
  <c r="N40" i="1"/>
  <c r="N57" i="1" s="1"/>
  <c r="O40" i="1"/>
  <c r="O57" i="1" s="1"/>
  <c r="D40" i="1"/>
  <c r="C10" i="3" s="1"/>
  <c r="E81" i="1"/>
  <c r="F81" i="1"/>
  <c r="E41" i="3" s="1"/>
  <c r="G81" i="1"/>
  <c r="H81" i="1"/>
  <c r="I81" i="1"/>
  <c r="J81" i="1"/>
  <c r="K81" i="1"/>
  <c r="L81" i="1"/>
  <c r="M81" i="1"/>
  <c r="N81" i="1"/>
  <c r="O81" i="1"/>
  <c r="D81" i="1"/>
  <c r="C41" i="3" s="1"/>
  <c r="C81" i="1"/>
  <c r="E69" i="1"/>
  <c r="D11" i="3" s="1"/>
  <c r="F69" i="1"/>
  <c r="E11" i="3" s="1"/>
  <c r="G69" i="1"/>
  <c r="F11" i="3" s="1"/>
  <c r="H69" i="1"/>
  <c r="H292" i="1" s="1"/>
  <c r="I69" i="1"/>
  <c r="J69" i="1"/>
  <c r="K69" i="1"/>
  <c r="L69" i="1"/>
  <c r="M69" i="1"/>
  <c r="N69" i="1"/>
  <c r="O69" i="1"/>
  <c r="D69" i="1"/>
  <c r="C11" i="3" s="1"/>
  <c r="C69" i="1"/>
  <c r="H93" i="10"/>
  <c r="E304" i="1"/>
  <c r="E60" i="3"/>
  <c r="I304" i="1"/>
  <c r="J304" i="1"/>
  <c r="M304" i="1"/>
  <c r="N304" i="1"/>
  <c r="D304" i="1"/>
  <c r="E28" i="3"/>
  <c r="F28" i="3"/>
  <c r="J296" i="1"/>
  <c r="N296" i="1"/>
  <c r="D12" i="3"/>
  <c r="C12" i="3"/>
  <c r="C97" i="1"/>
  <c r="C115" i="1" s="1"/>
  <c r="D63" i="3"/>
  <c r="E63" i="3"/>
  <c r="F63" i="3"/>
  <c r="D62" i="3"/>
  <c r="E62" i="3"/>
  <c r="F62" i="3"/>
  <c r="D61" i="3"/>
  <c r="E61" i="3"/>
  <c r="F61" i="3"/>
  <c r="F60" i="3"/>
  <c r="D59" i="3"/>
  <c r="E59" i="3"/>
  <c r="F59" i="3"/>
  <c r="D58" i="3"/>
  <c r="E58" i="3"/>
  <c r="F58" i="3"/>
  <c r="D57" i="3"/>
  <c r="E57" i="3"/>
  <c r="F57" i="3"/>
  <c r="D56" i="3"/>
  <c r="E56" i="3"/>
  <c r="F56" i="3"/>
  <c r="D55" i="3"/>
  <c r="E55" i="3"/>
  <c r="F55" i="3"/>
  <c r="D54" i="3"/>
  <c r="E54" i="3"/>
  <c r="F54" i="3"/>
  <c r="C63" i="3"/>
  <c r="C62" i="3"/>
  <c r="C61" i="3"/>
  <c r="C60" i="3"/>
  <c r="C59" i="3"/>
  <c r="C58" i="3"/>
  <c r="C57" i="3"/>
  <c r="C56" i="3"/>
  <c r="C55" i="3"/>
  <c r="C54" i="3"/>
  <c r="G304" i="1"/>
  <c r="H304" i="1"/>
  <c r="K304" i="1"/>
  <c r="L304" i="1"/>
  <c r="O304" i="1"/>
  <c r="C304" i="1"/>
  <c r="D48" i="3"/>
  <c r="E48" i="3"/>
  <c r="F48" i="3"/>
  <c r="D46" i="3"/>
  <c r="E46" i="3"/>
  <c r="F46" i="3"/>
  <c r="D45" i="3"/>
  <c r="D44" i="3"/>
  <c r="E44" i="3"/>
  <c r="F44" i="3"/>
  <c r="D43" i="3"/>
  <c r="E43" i="3"/>
  <c r="D42" i="3"/>
  <c r="E42" i="3"/>
  <c r="F42" i="3"/>
  <c r="F41" i="3"/>
  <c r="D40" i="3"/>
  <c r="E40" i="3"/>
  <c r="F40" i="3"/>
  <c r="D39" i="3"/>
  <c r="E39" i="3"/>
  <c r="F39" i="3"/>
  <c r="C48" i="3"/>
  <c r="C47" i="3"/>
  <c r="C46" i="3"/>
  <c r="C44" i="3"/>
  <c r="C42" i="3"/>
  <c r="C40" i="3"/>
  <c r="C39" i="3"/>
  <c r="D33" i="3"/>
  <c r="E33" i="3"/>
  <c r="F33" i="3"/>
  <c r="D32" i="3"/>
  <c r="E32" i="3"/>
  <c r="F32" i="3"/>
  <c r="D31" i="3"/>
  <c r="E31" i="3"/>
  <c r="F31" i="3"/>
  <c r="D30" i="3"/>
  <c r="E30" i="3"/>
  <c r="F30" i="3"/>
  <c r="D29" i="3"/>
  <c r="E29" i="3"/>
  <c r="F29" i="3"/>
  <c r="D28" i="3"/>
  <c r="D27" i="3"/>
  <c r="E27" i="3"/>
  <c r="F27" i="3"/>
  <c r="D26" i="3"/>
  <c r="E26" i="3"/>
  <c r="F26" i="3"/>
  <c r="D25" i="3"/>
  <c r="E25" i="3"/>
  <c r="F25" i="3"/>
  <c r="D24" i="3"/>
  <c r="E24" i="3"/>
  <c r="F24" i="3"/>
  <c r="C33" i="3"/>
  <c r="C32" i="3"/>
  <c r="C31" i="3"/>
  <c r="C30" i="3"/>
  <c r="C29" i="3"/>
  <c r="C28" i="3"/>
  <c r="C27" i="3"/>
  <c r="C26" i="3"/>
  <c r="C25" i="3"/>
  <c r="C24" i="3"/>
  <c r="E296" i="1"/>
  <c r="G296" i="1"/>
  <c r="H296" i="1"/>
  <c r="I296" i="1"/>
  <c r="K296" i="1"/>
  <c r="L296" i="1"/>
  <c r="M296" i="1"/>
  <c r="O296" i="1"/>
  <c r="D296" i="1"/>
  <c r="C296" i="1"/>
  <c r="D17" i="3"/>
  <c r="E17" i="3"/>
  <c r="F17" i="3"/>
  <c r="D16" i="3"/>
  <c r="E16" i="3"/>
  <c r="F16" i="3"/>
  <c r="D15" i="3"/>
  <c r="E15" i="3"/>
  <c r="F15" i="3"/>
  <c r="D14" i="3"/>
  <c r="E14" i="3"/>
  <c r="F14" i="3"/>
  <c r="D13" i="3"/>
  <c r="E13" i="3"/>
  <c r="F13" i="3"/>
  <c r="E12" i="3"/>
  <c r="F12" i="3"/>
  <c r="D9" i="3"/>
  <c r="E9" i="3"/>
  <c r="F9" i="3"/>
  <c r="C18" i="3"/>
  <c r="C17" i="3"/>
  <c r="C16" i="3"/>
  <c r="C15" i="3"/>
  <c r="C14" i="3"/>
  <c r="C13" i="3"/>
  <c r="C9" i="3"/>
  <c r="H305" i="10"/>
  <c r="H299" i="10"/>
  <c r="H289" i="10"/>
  <c r="H284" i="10"/>
  <c r="H274" i="10"/>
  <c r="H269" i="10"/>
  <c r="H260" i="10"/>
  <c r="H255" i="10"/>
  <c r="H248" i="10"/>
  <c r="H243" i="10"/>
  <c r="H232" i="10"/>
  <c r="H227" i="10"/>
  <c r="H217" i="10"/>
  <c r="H212" i="10"/>
  <c r="H203" i="10"/>
  <c r="H197" i="10"/>
  <c r="H187" i="10"/>
  <c r="H183" i="10"/>
  <c r="H174" i="10"/>
  <c r="H169" i="10"/>
  <c r="H157" i="10"/>
  <c r="H152" i="10"/>
  <c r="H142" i="10"/>
  <c r="H137" i="10"/>
  <c r="H127" i="10"/>
  <c r="H122" i="10"/>
  <c r="H113" i="10"/>
  <c r="H108" i="10"/>
  <c r="H98" i="10"/>
  <c r="H83" i="10"/>
  <c r="H78" i="10"/>
  <c r="H68" i="10"/>
  <c r="H63" i="10"/>
  <c r="H53" i="10"/>
  <c r="H47" i="10"/>
  <c r="H37" i="10"/>
  <c r="H31" i="10"/>
  <c r="H22" i="10"/>
  <c r="H16" i="10"/>
  <c r="H300" i="1" l="1"/>
  <c r="E18" i="3"/>
  <c r="G285" i="1"/>
  <c r="G286" i="1" s="1"/>
  <c r="G308" i="1" s="1"/>
  <c r="E285" i="1"/>
  <c r="E286" i="1" s="1"/>
  <c r="E308" i="1" s="1"/>
  <c r="N286" i="1"/>
  <c r="N308" i="1" s="1"/>
  <c r="L292" i="1"/>
  <c r="D292" i="1"/>
  <c r="O286" i="1"/>
  <c r="O308" i="1" s="1"/>
  <c r="C286" i="1"/>
  <c r="M286" i="1"/>
  <c r="M308" i="1" s="1"/>
  <c r="I286" i="1"/>
  <c r="I308" i="1" s="1"/>
  <c r="H286" i="1"/>
  <c r="H308" i="1" s="1"/>
  <c r="J292" i="1"/>
  <c r="E292" i="1"/>
  <c r="D10" i="3"/>
  <c r="I292" i="1"/>
  <c r="F10" i="3"/>
  <c r="K292" i="1"/>
  <c r="L57" i="1"/>
  <c r="L286" i="1" s="1"/>
  <c r="L308" i="1" s="1"/>
  <c r="D57" i="1"/>
  <c r="M292" i="1"/>
  <c r="J57" i="1"/>
  <c r="J286" i="1" s="1"/>
  <c r="J308" i="1" s="1"/>
  <c r="F57" i="1"/>
  <c r="F286" i="1" s="1"/>
  <c r="F308" i="1" s="1"/>
  <c r="E45" i="3"/>
  <c r="K300" i="1"/>
  <c r="O292" i="1"/>
  <c r="C292" i="1"/>
  <c r="M300" i="1"/>
  <c r="E300" i="1"/>
  <c r="N300" i="1"/>
  <c r="J300" i="1"/>
  <c r="F300" i="1"/>
  <c r="I300" i="1"/>
  <c r="L300" i="1"/>
  <c r="C300" i="1"/>
  <c r="O300" i="1"/>
  <c r="L142" i="1"/>
  <c r="D142" i="1"/>
  <c r="K142" i="1"/>
  <c r="K286" i="1" s="1"/>
  <c r="K308" i="1" s="1"/>
  <c r="D300" i="1"/>
  <c r="G142" i="1"/>
  <c r="G300" i="1"/>
  <c r="D41" i="3"/>
  <c r="N292" i="1"/>
  <c r="G292" i="1"/>
  <c r="F292" i="1"/>
  <c r="F304" i="1"/>
  <c r="D60" i="3"/>
  <c r="F296" i="1"/>
  <c r="D299" i="10"/>
  <c r="D284" i="10"/>
  <c r="D269" i="10"/>
  <c r="D255" i="10"/>
  <c r="D243" i="10"/>
  <c r="D227" i="10"/>
  <c r="D212" i="10"/>
  <c r="D197" i="10"/>
  <c r="D183" i="10"/>
  <c r="D169" i="10"/>
  <c r="D152" i="10"/>
  <c r="D137" i="10"/>
  <c r="D122" i="10"/>
  <c r="D108" i="10"/>
  <c r="D94" i="10"/>
  <c r="D78" i="10"/>
  <c r="D63" i="10"/>
  <c r="D47" i="10"/>
  <c r="D31" i="10"/>
  <c r="D16" i="10"/>
  <c r="O193" i="11"/>
  <c r="N193" i="11"/>
  <c r="M193" i="11"/>
  <c r="L193" i="11"/>
  <c r="J193" i="11"/>
  <c r="I193" i="11"/>
  <c r="H193" i="11"/>
  <c r="C193" i="11"/>
  <c r="F192" i="11"/>
  <c r="E192" i="11"/>
  <c r="D192" i="11"/>
  <c r="G191" i="11"/>
  <c r="G190" i="11"/>
  <c r="K189" i="11"/>
  <c r="K193" i="11" s="1"/>
  <c r="F189" i="11"/>
  <c r="E189" i="11"/>
  <c r="D189" i="11"/>
  <c r="D193" i="11" s="1"/>
  <c r="G188" i="11"/>
  <c r="G187" i="11"/>
  <c r="G186" i="11"/>
  <c r="G185" i="11"/>
  <c r="O183" i="11"/>
  <c r="N183" i="11"/>
  <c r="M183" i="11"/>
  <c r="L183" i="11"/>
  <c r="K183" i="11"/>
  <c r="J183" i="11"/>
  <c r="I183" i="11"/>
  <c r="H183" i="11"/>
  <c r="F182" i="11"/>
  <c r="E182" i="11"/>
  <c r="D182" i="11"/>
  <c r="F181" i="11"/>
  <c r="F183" i="11" s="1"/>
  <c r="E181" i="11"/>
  <c r="D181" i="11"/>
  <c r="G180" i="11"/>
  <c r="G179" i="11"/>
  <c r="G178" i="11"/>
  <c r="G177" i="11"/>
  <c r="G176" i="11"/>
  <c r="C176" i="11"/>
  <c r="C183" i="11" s="1"/>
  <c r="G175" i="11"/>
  <c r="O172" i="11"/>
  <c r="N172" i="11"/>
  <c r="M172" i="11"/>
  <c r="L172" i="11"/>
  <c r="K172" i="11"/>
  <c r="J172" i="11"/>
  <c r="I172" i="11"/>
  <c r="H172" i="11"/>
  <c r="F172" i="11"/>
  <c r="D172" i="11"/>
  <c r="C172" i="11"/>
  <c r="E171" i="11"/>
  <c r="E172" i="11" s="1"/>
  <c r="G170" i="11"/>
  <c r="G168" i="11"/>
  <c r="G167" i="11"/>
  <c r="G166" i="11"/>
  <c r="G165" i="11"/>
  <c r="O163" i="11"/>
  <c r="N163" i="11"/>
  <c r="M163" i="11"/>
  <c r="L163" i="11"/>
  <c r="K163" i="11"/>
  <c r="J163" i="11"/>
  <c r="I163" i="11"/>
  <c r="C163" i="11"/>
  <c r="H162" i="11"/>
  <c r="F162" i="11"/>
  <c r="E162" i="11"/>
  <c r="D162" i="11"/>
  <c r="F161" i="11"/>
  <c r="F163" i="11" s="1"/>
  <c r="E161" i="11"/>
  <c r="E163" i="11" s="1"/>
  <c r="D161" i="11"/>
  <c r="H160" i="11"/>
  <c r="G160" i="11"/>
  <c r="G159" i="11"/>
  <c r="G158" i="11"/>
  <c r="O155" i="11"/>
  <c r="N155" i="11"/>
  <c r="M155" i="11"/>
  <c r="L155" i="11"/>
  <c r="K155" i="11"/>
  <c r="J155" i="11"/>
  <c r="I155" i="11"/>
  <c r="H155" i="11"/>
  <c r="F155" i="11"/>
  <c r="E155" i="11"/>
  <c r="D155" i="11"/>
  <c r="C155" i="11"/>
  <c r="F154" i="11"/>
  <c r="E154" i="11"/>
  <c r="D154" i="11"/>
  <c r="G153" i="11"/>
  <c r="G152" i="11"/>
  <c r="G151" i="11"/>
  <c r="G150" i="11"/>
  <c r="G149" i="11"/>
  <c r="G148" i="11"/>
  <c r="G147" i="11"/>
  <c r="G155" i="11" s="1"/>
  <c r="O145" i="11"/>
  <c r="N145" i="11"/>
  <c r="M145" i="11"/>
  <c r="L145" i="11"/>
  <c r="K145" i="11"/>
  <c r="J145" i="11"/>
  <c r="I145" i="11"/>
  <c r="H145" i="11"/>
  <c r="C145" i="11"/>
  <c r="F144" i="11"/>
  <c r="E144" i="11"/>
  <c r="D144" i="11"/>
  <c r="F143" i="11"/>
  <c r="F145" i="11" s="1"/>
  <c r="E143" i="11"/>
  <c r="D143" i="11"/>
  <c r="G142" i="11"/>
  <c r="G141" i="11"/>
  <c r="G140" i="11"/>
  <c r="G139" i="11"/>
  <c r="G138" i="11"/>
  <c r="G137" i="11"/>
  <c r="O134" i="11"/>
  <c r="N134" i="11"/>
  <c r="M134" i="11"/>
  <c r="L134" i="11"/>
  <c r="K134" i="11"/>
  <c r="J134" i="11"/>
  <c r="I134" i="11"/>
  <c r="H134" i="11"/>
  <c r="C134" i="11"/>
  <c r="G133" i="11"/>
  <c r="G132" i="11"/>
  <c r="G131" i="11"/>
  <c r="G130" i="11"/>
  <c r="G129" i="11"/>
  <c r="F128" i="11"/>
  <c r="F134" i="11" s="1"/>
  <c r="E128" i="11"/>
  <c r="E134" i="11" s="1"/>
  <c r="D128" i="11"/>
  <c r="G127" i="11"/>
  <c r="O125" i="11"/>
  <c r="N125" i="11"/>
  <c r="M125" i="11"/>
  <c r="L125" i="11"/>
  <c r="K125" i="11"/>
  <c r="J125" i="11"/>
  <c r="I125" i="11"/>
  <c r="C125" i="11"/>
  <c r="G124" i="11"/>
  <c r="G123" i="11"/>
  <c r="F122" i="11"/>
  <c r="F125" i="11" s="1"/>
  <c r="E122" i="11"/>
  <c r="E125" i="11" s="1"/>
  <c r="D122" i="11"/>
  <c r="D125" i="11" s="1"/>
  <c r="G121" i="11"/>
  <c r="G120" i="11"/>
  <c r="H119" i="11"/>
  <c r="H125" i="11" s="1"/>
  <c r="G119" i="11"/>
  <c r="G118" i="11"/>
  <c r="O115" i="11"/>
  <c r="N115" i="11"/>
  <c r="M115" i="11"/>
  <c r="L115" i="11"/>
  <c r="J115" i="11"/>
  <c r="I115" i="11"/>
  <c r="H115" i="11"/>
  <c r="F115" i="11"/>
  <c r="D115" i="11"/>
  <c r="C115" i="11"/>
  <c r="G114" i="11"/>
  <c r="G113" i="11"/>
  <c r="G112" i="11"/>
  <c r="G111" i="11"/>
  <c r="E111" i="11"/>
  <c r="E115" i="11" s="1"/>
  <c r="G110" i="11"/>
  <c r="K109" i="11"/>
  <c r="K115" i="11" s="1"/>
  <c r="G109" i="11"/>
  <c r="G108" i="11"/>
  <c r="N106" i="11"/>
  <c r="M106" i="11"/>
  <c r="L106" i="11"/>
  <c r="K106" i="11"/>
  <c r="J106" i="11"/>
  <c r="I106" i="11"/>
  <c r="H106" i="11"/>
  <c r="F104" i="11"/>
  <c r="E104" i="11"/>
  <c r="E106" i="11" s="1"/>
  <c r="D104" i="11"/>
  <c r="O102" i="11"/>
  <c r="O106" i="11" s="1"/>
  <c r="F102" i="11"/>
  <c r="C100" i="11"/>
  <c r="C106" i="11" s="1"/>
  <c r="G99" i="11"/>
  <c r="O96" i="11"/>
  <c r="N96" i="11"/>
  <c r="M96" i="11"/>
  <c r="L96" i="11"/>
  <c r="K96" i="11"/>
  <c r="J96" i="11"/>
  <c r="I96" i="11"/>
  <c r="H96" i="11"/>
  <c r="F96" i="11"/>
  <c r="E96" i="11"/>
  <c r="D96" i="11"/>
  <c r="C96" i="11"/>
  <c r="G95" i="11"/>
  <c r="G94" i="11"/>
  <c r="G93" i="11"/>
  <c r="G92" i="11"/>
  <c r="G91" i="11"/>
  <c r="G90" i="11"/>
  <c r="G89" i="11"/>
  <c r="O87" i="11"/>
  <c r="N87" i="11"/>
  <c r="M87" i="11"/>
  <c r="L87" i="11"/>
  <c r="K87" i="11"/>
  <c r="J87" i="11"/>
  <c r="I87" i="11"/>
  <c r="H87" i="11"/>
  <c r="E87" i="11"/>
  <c r="C87" i="11"/>
  <c r="G86" i="11"/>
  <c r="G85" i="11"/>
  <c r="F84" i="11"/>
  <c r="F87" i="11" s="1"/>
  <c r="E84" i="11"/>
  <c r="D84" i="11"/>
  <c r="D87" i="11" s="1"/>
  <c r="G83" i="11"/>
  <c r="G82" i="11"/>
  <c r="G81" i="11"/>
  <c r="O78" i="11"/>
  <c r="N78" i="11"/>
  <c r="M78" i="11"/>
  <c r="L78" i="11"/>
  <c r="K78" i="11"/>
  <c r="J78" i="11"/>
  <c r="I78" i="11"/>
  <c r="H78" i="11"/>
  <c r="F78" i="11"/>
  <c r="E78" i="11"/>
  <c r="D78" i="11"/>
  <c r="C78" i="11"/>
  <c r="G76" i="11"/>
  <c r="G75" i="11"/>
  <c r="G74" i="11"/>
  <c r="G73" i="11"/>
  <c r="G72" i="11"/>
  <c r="G71" i="11"/>
  <c r="K69" i="11"/>
  <c r="J69" i="11"/>
  <c r="H69" i="11"/>
  <c r="C69" i="11"/>
  <c r="G68" i="11"/>
  <c r="G67" i="11"/>
  <c r="F66" i="11"/>
  <c r="G66" i="11" s="1"/>
  <c r="G65" i="11"/>
  <c r="O64" i="11"/>
  <c r="O69" i="11" s="1"/>
  <c r="N64" i="11"/>
  <c r="N69" i="11" s="1"/>
  <c r="M64" i="11"/>
  <c r="M69" i="11" s="1"/>
  <c r="L64" i="11"/>
  <c r="L69" i="11" s="1"/>
  <c r="I64" i="11"/>
  <c r="I69" i="11" s="1"/>
  <c r="F64" i="11"/>
  <c r="E64" i="11"/>
  <c r="E69" i="11" s="1"/>
  <c r="D64" i="11"/>
  <c r="D69" i="11" s="1"/>
  <c r="G63" i="11"/>
  <c r="N60" i="11"/>
  <c r="M60" i="11"/>
  <c r="K60" i="11"/>
  <c r="J60" i="11"/>
  <c r="I60" i="11"/>
  <c r="H60" i="11"/>
  <c r="C60" i="11"/>
  <c r="E59" i="11"/>
  <c r="G59" i="11" s="1"/>
  <c r="G58" i="11"/>
  <c r="G57" i="11"/>
  <c r="G56" i="11"/>
  <c r="O55" i="11"/>
  <c r="O60" i="11" s="1"/>
  <c r="L55" i="11"/>
  <c r="L60" i="11" s="1"/>
  <c r="F55" i="11"/>
  <c r="G55" i="11" s="1"/>
  <c r="G54" i="11"/>
  <c r="F53" i="11"/>
  <c r="E53" i="11"/>
  <c r="E60" i="11" s="1"/>
  <c r="D53" i="11"/>
  <c r="G53" i="11" s="1"/>
  <c r="O51" i="11"/>
  <c r="N51" i="11"/>
  <c r="M51" i="11"/>
  <c r="L51" i="11"/>
  <c r="K51" i="11"/>
  <c r="J51" i="11"/>
  <c r="I51" i="11"/>
  <c r="H51" i="11"/>
  <c r="F51" i="11"/>
  <c r="E51" i="11"/>
  <c r="D51" i="11"/>
  <c r="C51" i="11"/>
  <c r="G50" i="11"/>
  <c r="G49" i="11"/>
  <c r="G48" i="11"/>
  <c r="G47" i="11"/>
  <c r="G46" i="11"/>
  <c r="G45" i="11"/>
  <c r="G44" i="11"/>
  <c r="O41" i="11"/>
  <c r="N41" i="11"/>
  <c r="M41" i="11"/>
  <c r="L41" i="11"/>
  <c r="K41" i="11"/>
  <c r="J41" i="11"/>
  <c r="I41" i="11"/>
  <c r="H41" i="11"/>
  <c r="F41" i="11"/>
  <c r="E41" i="11"/>
  <c r="D41" i="11"/>
  <c r="C41" i="11"/>
  <c r="G39" i="11"/>
  <c r="G38" i="11"/>
  <c r="G37" i="11"/>
  <c r="G36" i="11"/>
  <c r="G35" i="11"/>
  <c r="G34" i="11"/>
  <c r="G33" i="11"/>
  <c r="O31" i="11"/>
  <c r="N31" i="11"/>
  <c r="M31" i="11"/>
  <c r="L31" i="11"/>
  <c r="K31" i="11"/>
  <c r="J31" i="11"/>
  <c r="I31" i="11"/>
  <c r="C31" i="11"/>
  <c r="H30" i="11"/>
  <c r="H31" i="11" s="1"/>
  <c r="F30" i="11"/>
  <c r="F31" i="11" s="1"/>
  <c r="E30" i="11"/>
  <c r="E31" i="11" s="1"/>
  <c r="D30" i="11"/>
  <c r="G29" i="11"/>
  <c r="G28" i="11"/>
  <c r="G27" i="11"/>
  <c r="G26" i="11"/>
  <c r="G25" i="11"/>
  <c r="J22" i="11"/>
  <c r="I22" i="11"/>
  <c r="C22" i="11"/>
  <c r="G21" i="11"/>
  <c r="O20" i="11"/>
  <c r="O22" i="11" s="1"/>
  <c r="N20" i="11"/>
  <c r="N22" i="11" s="1"/>
  <c r="M20" i="11"/>
  <c r="M22" i="11" s="1"/>
  <c r="L20" i="11"/>
  <c r="L22" i="11" s="1"/>
  <c r="K20" i="11"/>
  <c r="H20" i="11"/>
  <c r="H22" i="11" s="1"/>
  <c r="F20" i="11"/>
  <c r="F22" i="11" s="1"/>
  <c r="E20" i="11"/>
  <c r="E22" i="11" s="1"/>
  <c r="D20" i="11"/>
  <c r="G19" i="11"/>
  <c r="G18" i="11"/>
  <c r="K17" i="11"/>
  <c r="G17" i="11"/>
  <c r="G16" i="11"/>
  <c r="G15" i="11"/>
  <c r="O12" i="11"/>
  <c r="N12" i="11"/>
  <c r="M12" i="11"/>
  <c r="L12" i="11"/>
  <c r="K12" i="11"/>
  <c r="J12" i="11"/>
  <c r="I12" i="11"/>
  <c r="F12" i="11"/>
  <c r="E12" i="11"/>
  <c r="D12" i="11"/>
  <c r="C12" i="11"/>
  <c r="G11" i="11"/>
  <c r="G10" i="11"/>
  <c r="H9" i="11"/>
  <c r="H12" i="11" s="1"/>
  <c r="G9" i="11"/>
  <c r="G8" i="11"/>
  <c r="G7" i="11"/>
  <c r="H163" i="11" l="1"/>
  <c r="G192" i="11"/>
  <c r="M197" i="11"/>
  <c r="H201" i="11"/>
  <c r="H202" i="11" s="1"/>
  <c r="H204" i="11" s="1"/>
  <c r="N201" i="11"/>
  <c r="N202" i="11" s="1"/>
  <c r="N204" i="11" s="1"/>
  <c r="G30" i="11"/>
  <c r="G96" i="11"/>
  <c r="E145" i="11"/>
  <c r="G144" i="11"/>
  <c r="D163" i="11"/>
  <c r="D183" i="11"/>
  <c r="D145" i="11"/>
  <c r="G78" i="11"/>
  <c r="G162" i="11"/>
  <c r="G171" i="11"/>
  <c r="G172" i="11" s="1"/>
  <c r="D286" i="1"/>
  <c r="D308" i="1" s="1"/>
  <c r="I197" i="11"/>
  <c r="I198" i="11" s="1"/>
  <c r="M201" i="11"/>
  <c r="M202" i="11" s="1"/>
  <c r="M204" i="11" s="1"/>
  <c r="G31" i="11"/>
  <c r="G115" i="11"/>
  <c r="G128" i="11"/>
  <c r="G134" i="11" s="1"/>
  <c r="G182" i="11"/>
  <c r="J197" i="11"/>
  <c r="J205" i="11" s="1"/>
  <c r="N197" i="11"/>
  <c r="N205" i="11" s="1"/>
  <c r="G20" i="11"/>
  <c r="K22" i="11"/>
  <c r="K201" i="11" s="1"/>
  <c r="K202" i="11" s="1"/>
  <c r="K204" i="11" s="1"/>
  <c r="O201" i="11"/>
  <c r="O202" i="11" s="1"/>
  <c r="O204" i="11" s="1"/>
  <c r="I201" i="11"/>
  <c r="I202" i="11" s="1"/>
  <c r="I204" i="11" s="1"/>
  <c r="G41" i="11"/>
  <c r="G51" i="11"/>
  <c r="F60" i="11"/>
  <c r="F201" i="11" s="1"/>
  <c r="F202" i="11" s="1"/>
  <c r="D60" i="11"/>
  <c r="F69" i="11"/>
  <c r="G143" i="11"/>
  <c r="G145" i="11" s="1"/>
  <c r="G161" i="11"/>
  <c r="G163" i="11" s="1"/>
  <c r="G181" i="11"/>
  <c r="G183" i="11" s="1"/>
  <c r="G189" i="11"/>
  <c r="G193" i="11" s="1"/>
  <c r="G22" i="11"/>
  <c r="G104" i="11"/>
  <c r="G106" i="11" s="1"/>
  <c r="G12" i="11"/>
  <c r="L201" i="11"/>
  <c r="L202" i="11" s="1"/>
  <c r="L204" i="11" s="1"/>
  <c r="J201" i="11"/>
  <c r="J202" i="11" s="1"/>
  <c r="J204" i="11" s="1"/>
  <c r="K197" i="11"/>
  <c r="K205" i="11" s="1"/>
  <c r="O197" i="11"/>
  <c r="G154" i="11"/>
  <c r="F193" i="11"/>
  <c r="I205" i="11"/>
  <c r="M198" i="11"/>
  <c r="H197" i="11"/>
  <c r="L197" i="11"/>
  <c r="G60" i="11"/>
  <c r="D134" i="11"/>
  <c r="D31" i="11"/>
  <c r="G84" i="11"/>
  <c r="G87" i="11" s="1"/>
  <c r="D106" i="11"/>
  <c r="E183" i="11"/>
  <c r="D22" i="11"/>
  <c r="G64" i="11"/>
  <c r="G69" i="11" s="1"/>
  <c r="F106" i="11"/>
  <c r="F197" i="11" s="1"/>
  <c r="E193" i="11"/>
  <c r="E201" i="11" s="1"/>
  <c r="E202" i="11" s="1"/>
  <c r="G122" i="11"/>
  <c r="G125" i="11" s="1"/>
  <c r="K198" i="11" l="1"/>
  <c r="J198" i="11"/>
  <c r="E197" i="11"/>
  <c r="O205" i="11"/>
  <c r="G197" i="11"/>
  <c r="O198" i="11"/>
  <c r="O206" i="11" s="1"/>
  <c r="O210" i="11" s="1"/>
  <c r="N198" i="11"/>
  <c r="N200" i="11" s="1"/>
  <c r="G201" i="11"/>
  <c r="G202" i="11" s="1"/>
  <c r="G204" i="11" s="1"/>
  <c r="M205" i="11"/>
  <c r="D201" i="11"/>
  <c r="D202" i="11" s="1"/>
  <c r="D204" i="11"/>
  <c r="H205" i="11"/>
  <c r="H198" i="11"/>
  <c r="E198" i="11"/>
  <c r="E205" i="11"/>
  <c r="F198" i="11"/>
  <c r="F205" i="11"/>
  <c r="F204" i="11"/>
  <c r="M206" i="11"/>
  <c r="M210" i="11" s="1"/>
  <c r="M200" i="11"/>
  <c r="L205" i="11"/>
  <c r="L198" i="11"/>
  <c r="O200" i="11"/>
  <c r="N206" i="11"/>
  <c r="N210" i="11" s="1"/>
  <c r="I200" i="11"/>
  <c r="I206" i="11"/>
  <c r="I210" i="11" s="1"/>
  <c r="D197" i="11"/>
  <c r="E204" i="11"/>
  <c r="J200" i="11"/>
  <c r="J206" i="11"/>
  <c r="J210" i="11" s="1"/>
  <c r="K206" i="11"/>
  <c r="K210" i="11" s="1"/>
  <c r="K200" i="11"/>
  <c r="D203" i="11" l="1"/>
  <c r="F203" i="11"/>
  <c r="G205" i="11"/>
  <c r="E203" i="11"/>
  <c r="G198" i="11"/>
  <c r="E199" i="11" s="1"/>
  <c r="H200" i="11"/>
  <c r="H206" i="11"/>
  <c r="H210" i="11" s="1"/>
  <c r="D205" i="11"/>
  <c r="D198" i="11"/>
  <c r="E206" i="11"/>
  <c r="E200" i="11"/>
  <c r="L206" i="11"/>
  <c r="L210" i="11" s="1"/>
  <c r="L200" i="11"/>
  <c r="F200" i="11"/>
  <c r="F206" i="11"/>
  <c r="F199" i="11"/>
  <c r="G200" i="11"/>
  <c r="G206" i="11" l="1"/>
  <c r="G210" i="11" s="1"/>
  <c r="E210" i="11"/>
  <c r="F210" i="11"/>
  <c r="F207" i="11"/>
  <c r="D206" i="11"/>
  <c r="D199" i="11"/>
  <c r="D200" i="11"/>
  <c r="E207" i="11" l="1"/>
  <c r="D210" i="11"/>
  <c r="D207" i="11"/>
  <c r="I54" i="3" l="1"/>
  <c r="J54" i="3"/>
  <c r="I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H63" i="3"/>
  <c r="H62" i="3"/>
  <c r="H61" i="3"/>
  <c r="H60" i="3"/>
  <c r="H59" i="3"/>
  <c r="H58" i="3"/>
  <c r="H57" i="3"/>
  <c r="H56" i="3"/>
  <c r="H55" i="3"/>
  <c r="H54" i="3"/>
  <c r="J55" i="3"/>
  <c r="K54" i="3"/>
  <c r="E309" i="1"/>
  <c r="F309" i="1"/>
  <c r="G309" i="1"/>
  <c r="H309" i="1"/>
  <c r="I309" i="1"/>
  <c r="J309" i="1"/>
  <c r="K309" i="1"/>
  <c r="L309" i="1"/>
  <c r="M309" i="1"/>
  <c r="N309" i="1"/>
  <c r="O309" i="1"/>
  <c r="D309" i="1"/>
  <c r="F305" i="1"/>
  <c r="F307" i="1" s="1"/>
  <c r="G305" i="1"/>
  <c r="G307" i="1" s="1"/>
  <c r="H305" i="1"/>
  <c r="H307" i="1" s="1"/>
  <c r="I305" i="1"/>
  <c r="I307" i="1" s="1"/>
  <c r="J305" i="1"/>
  <c r="J307" i="1" s="1"/>
  <c r="K305" i="1"/>
  <c r="K307" i="1" s="1"/>
  <c r="L305" i="1"/>
  <c r="L307" i="1" s="1"/>
  <c r="M305" i="1"/>
  <c r="M307" i="1" s="1"/>
  <c r="N305" i="1"/>
  <c r="N307" i="1" s="1"/>
  <c r="O305" i="1"/>
  <c r="O307" i="1" s="1"/>
  <c r="C305" i="1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H48" i="3"/>
  <c r="H47" i="3"/>
  <c r="H46" i="3"/>
  <c r="H45" i="3"/>
  <c r="H44" i="3"/>
  <c r="H43" i="3"/>
  <c r="H42" i="3"/>
  <c r="H41" i="3"/>
  <c r="H40" i="3"/>
  <c r="H39" i="3"/>
  <c r="E301" i="1"/>
  <c r="F301" i="1"/>
  <c r="G301" i="1"/>
  <c r="G303" i="1" s="1"/>
  <c r="H301" i="1"/>
  <c r="H303" i="1" s="1"/>
  <c r="I301" i="1"/>
  <c r="I303" i="1" s="1"/>
  <c r="J301" i="1"/>
  <c r="J303" i="1" s="1"/>
  <c r="K301" i="1"/>
  <c r="K303" i="1" s="1"/>
  <c r="L301" i="1"/>
  <c r="L303" i="1" s="1"/>
  <c r="M301" i="1"/>
  <c r="M303" i="1" s="1"/>
  <c r="N301" i="1"/>
  <c r="N303" i="1" s="1"/>
  <c r="O301" i="1"/>
  <c r="O303" i="1" s="1"/>
  <c r="D301" i="1"/>
  <c r="I24" i="3"/>
  <c r="J24" i="3"/>
  <c r="K24" i="3"/>
  <c r="I25" i="3"/>
  <c r="J25" i="3"/>
  <c r="K25" i="3"/>
  <c r="I26" i="3"/>
  <c r="J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H33" i="3"/>
  <c r="H32" i="3"/>
  <c r="H31" i="3"/>
  <c r="H30" i="3"/>
  <c r="H29" i="3"/>
  <c r="H28" i="3"/>
  <c r="H27" i="3"/>
  <c r="H26" i="3"/>
  <c r="H25" i="3"/>
  <c r="H24" i="3"/>
  <c r="K26" i="3"/>
  <c r="E297" i="1"/>
  <c r="F297" i="1"/>
  <c r="G297" i="1"/>
  <c r="G299" i="1" s="1"/>
  <c r="H297" i="1"/>
  <c r="H299" i="1" s="1"/>
  <c r="I297" i="1"/>
  <c r="I299" i="1" s="1"/>
  <c r="J297" i="1"/>
  <c r="J299" i="1" s="1"/>
  <c r="K297" i="1"/>
  <c r="K299" i="1" s="1"/>
  <c r="L297" i="1"/>
  <c r="L299" i="1" s="1"/>
  <c r="M297" i="1"/>
  <c r="M299" i="1" s="1"/>
  <c r="N297" i="1"/>
  <c r="N299" i="1" s="1"/>
  <c r="O297" i="1"/>
  <c r="O299" i="1" s="1"/>
  <c r="D297" i="1"/>
  <c r="C297" i="1"/>
  <c r="C301" i="1"/>
  <c r="C293" i="1"/>
  <c r="E306" i="1" l="1"/>
  <c r="D310" i="1"/>
  <c r="F310" i="1"/>
  <c r="E310" i="1"/>
  <c r="D306" i="1"/>
  <c r="E305" i="1"/>
  <c r="E307" i="1" s="1"/>
  <c r="D305" i="1"/>
  <c r="D307" i="1" s="1"/>
  <c r="F306" i="1"/>
  <c r="E303" i="1"/>
  <c r="E302" i="1"/>
  <c r="D303" i="1"/>
  <c r="D302" i="1"/>
  <c r="F303" i="1"/>
  <c r="F302" i="1"/>
  <c r="D298" i="1"/>
  <c r="D299" i="1"/>
  <c r="F299" i="1"/>
  <c r="F298" i="1"/>
  <c r="E299" i="1"/>
  <c r="E298" i="1"/>
  <c r="I9" i="3" l="1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H18" i="3"/>
  <c r="H17" i="3"/>
  <c r="H16" i="3"/>
  <c r="H15" i="3"/>
  <c r="H14" i="3"/>
  <c r="H13" i="3"/>
  <c r="H12" i="3"/>
  <c r="H11" i="3"/>
  <c r="H10" i="3"/>
  <c r="O10" i="3" l="1"/>
  <c r="H9" i="3"/>
  <c r="M61" i="3"/>
  <c r="N60" i="3"/>
  <c r="M56" i="3"/>
  <c r="O55" i="3"/>
  <c r="M54" i="3"/>
  <c r="E64" i="3"/>
  <c r="D64" i="3"/>
  <c r="C64" i="3"/>
  <c r="J53" i="3"/>
  <c r="O53" i="3" s="1"/>
  <c r="I53" i="3"/>
  <c r="N53" i="3" s="1"/>
  <c r="H53" i="3"/>
  <c r="M53" i="3" s="1"/>
  <c r="O47" i="3"/>
  <c r="O46" i="3"/>
  <c r="N46" i="3"/>
  <c r="O45" i="3"/>
  <c r="M45" i="3"/>
  <c r="O44" i="3"/>
  <c r="N43" i="3"/>
  <c r="O42" i="3"/>
  <c r="I49" i="3"/>
  <c r="H49" i="3"/>
  <c r="J38" i="3"/>
  <c r="O38" i="3" s="1"/>
  <c r="I38" i="3"/>
  <c r="N38" i="3" s="1"/>
  <c r="H38" i="3"/>
  <c r="M38" i="3" s="1"/>
  <c r="O33" i="3"/>
  <c r="O31" i="3"/>
  <c r="M31" i="3"/>
  <c r="N30" i="3"/>
  <c r="N28" i="3"/>
  <c r="M28" i="3"/>
  <c r="N27" i="3"/>
  <c r="M27" i="3"/>
  <c r="M26" i="3"/>
  <c r="J34" i="3"/>
  <c r="F34" i="3"/>
  <c r="C34" i="3"/>
  <c r="J23" i="3"/>
  <c r="O23" i="3" s="1"/>
  <c r="I23" i="3"/>
  <c r="N23" i="3" s="1"/>
  <c r="H23" i="3"/>
  <c r="M23" i="3" s="1"/>
  <c r="O11" i="3"/>
  <c r="J8" i="3"/>
  <c r="O8" i="3" s="1"/>
  <c r="I8" i="3"/>
  <c r="N8" i="3" s="1"/>
  <c r="H8" i="3"/>
  <c r="M8" i="3" s="1"/>
  <c r="N11" i="3" l="1"/>
  <c r="O17" i="3"/>
  <c r="N10" i="3"/>
  <c r="O27" i="3"/>
  <c r="O28" i="3"/>
  <c r="N29" i="3"/>
  <c r="N48" i="3"/>
  <c r="N63" i="3"/>
  <c r="O29" i="3"/>
  <c r="O48" i="3"/>
  <c r="N56" i="3"/>
  <c r="M60" i="3"/>
  <c r="O62" i="3"/>
  <c r="O16" i="3"/>
  <c r="M39" i="3"/>
  <c r="O43" i="3"/>
  <c r="M29" i="3"/>
  <c r="N45" i="3"/>
  <c r="M11" i="3"/>
  <c r="M46" i="3"/>
  <c r="M18" i="3"/>
  <c r="E19" i="3"/>
  <c r="J19" i="3" s="1"/>
  <c r="M10" i="3"/>
  <c r="M13" i="3"/>
  <c r="O14" i="3"/>
  <c r="O18" i="3"/>
  <c r="O24" i="3"/>
  <c r="N25" i="3"/>
  <c r="O30" i="3"/>
  <c r="N55" i="3"/>
  <c r="N59" i="3"/>
  <c r="N61" i="3"/>
  <c r="M62" i="3"/>
  <c r="M17" i="3"/>
  <c r="N62" i="3"/>
  <c r="M40" i="3"/>
  <c r="M47" i="3"/>
  <c r="K64" i="3"/>
  <c r="M63" i="3"/>
  <c r="E49" i="3"/>
  <c r="M14" i="3"/>
  <c r="N14" i="3"/>
  <c r="N18" i="3"/>
  <c r="O25" i="3"/>
  <c r="M30" i="3"/>
  <c r="N32" i="3"/>
  <c r="M33" i="3"/>
  <c r="E34" i="3"/>
  <c r="O40" i="3"/>
  <c r="M55" i="3"/>
  <c r="M57" i="3"/>
  <c r="M59" i="3"/>
  <c r="O60" i="3"/>
  <c r="O15" i="3"/>
  <c r="F19" i="3"/>
  <c r="K19" i="3" s="1"/>
  <c r="M9" i="3"/>
  <c r="N12" i="3"/>
  <c r="N40" i="3"/>
  <c r="C19" i="3"/>
  <c r="H19" i="3" s="1"/>
  <c r="O9" i="3"/>
  <c r="M12" i="3"/>
  <c r="O12" i="3"/>
  <c r="D34" i="3"/>
  <c r="I34" i="3"/>
  <c r="N24" i="3"/>
  <c r="D49" i="3"/>
  <c r="O13" i="3"/>
  <c r="N16" i="3"/>
  <c r="N31" i="3"/>
  <c r="O32" i="3"/>
  <c r="N39" i="3"/>
  <c r="N41" i="3"/>
  <c r="C49" i="3"/>
  <c r="N47" i="3"/>
  <c r="O63" i="3"/>
  <c r="N13" i="3"/>
  <c r="N15" i="3"/>
  <c r="O26" i="3"/>
  <c r="F49" i="3"/>
  <c r="O41" i="3"/>
  <c r="M42" i="3"/>
  <c r="O56" i="3"/>
  <c r="O57" i="3"/>
  <c r="N44" i="3"/>
  <c r="N58" i="3"/>
  <c r="F64" i="3"/>
  <c r="D19" i="3"/>
  <c r="I19" i="3" s="1"/>
  <c r="N9" i="3"/>
  <c r="M15" i="3"/>
  <c r="M16" i="3"/>
  <c r="N17" i="3"/>
  <c r="M25" i="3"/>
  <c r="N26" i="3"/>
  <c r="M32" i="3"/>
  <c r="N33" i="3"/>
  <c r="M41" i="3"/>
  <c r="N42" i="3"/>
  <c r="M43" i="3"/>
  <c r="M48" i="3"/>
  <c r="H64" i="3"/>
  <c r="N57" i="3"/>
  <c r="O58" i="3"/>
  <c r="M58" i="3"/>
  <c r="O59" i="3"/>
  <c r="M44" i="3"/>
  <c r="O61" i="3"/>
  <c r="K34" i="3"/>
  <c r="J49" i="3"/>
  <c r="O39" i="3"/>
  <c r="I64" i="3"/>
  <c r="N54" i="3"/>
  <c r="H34" i="3"/>
  <c r="M24" i="3"/>
  <c r="K49" i="3"/>
  <c r="J64" i="3"/>
  <c r="O54" i="3"/>
  <c r="O64" i="3" l="1"/>
  <c r="N64" i="3"/>
  <c r="M64" i="3"/>
  <c r="M34" i="3"/>
  <c r="N34" i="3"/>
  <c r="O34" i="3"/>
  <c r="O49" i="3"/>
  <c r="M49" i="3"/>
  <c r="N49" i="3"/>
  <c r="O19" i="3"/>
  <c r="N19" i="3"/>
  <c r="M19" i="3"/>
  <c r="E293" i="1" l="1"/>
  <c r="E295" i="1" s="1"/>
  <c r="F293" i="1"/>
  <c r="F295" i="1" s="1"/>
  <c r="G293" i="1"/>
  <c r="G295" i="1" s="1"/>
  <c r="H293" i="1"/>
  <c r="H295" i="1" s="1"/>
  <c r="I293" i="1"/>
  <c r="I295" i="1" s="1"/>
  <c r="J293" i="1"/>
  <c r="J295" i="1" s="1"/>
  <c r="K293" i="1"/>
  <c r="K295" i="1" s="1"/>
  <c r="L293" i="1"/>
  <c r="L295" i="1" s="1"/>
  <c r="M293" i="1"/>
  <c r="M295" i="1" s="1"/>
  <c r="N293" i="1"/>
  <c r="N295" i="1" s="1"/>
  <c r="O293" i="1"/>
  <c r="O295" i="1" s="1"/>
  <c r="D293" i="1"/>
  <c r="D295" i="1" s="1"/>
  <c r="F294" i="1" l="1"/>
  <c r="E294" i="1"/>
  <c r="D294" i="1"/>
</calcChain>
</file>

<file path=xl/sharedStrings.xml><?xml version="1.0" encoding="utf-8"?>
<sst xmlns="http://schemas.openxmlformats.org/spreadsheetml/2006/main" count="1379" uniqueCount="387">
  <si>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</si>
  <si>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</si>
  <si>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</si>
  <si>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</si>
  <si>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</si>
  <si>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</si>
  <si>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</si>
  <si>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</si>
  <si>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</si>
  <si>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</si>
  <si>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</si>
  <si>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</si>
  <si>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</si>
  <si>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</si>
  <si>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</si>
  <si>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</si>
  <si>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</si>
  <si>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</si>
  <si>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</si>
  <si>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Итого за _Завтрак</t>
  </si>
  <si>
    <t>Второй завтрак</t>
  </si>
  <si>
    <t>Итого за Второй завтрак</t>
  </si>
  <si>
    <t>Обед</t>
  </si>
  <si>
    <t>Итого за Обед</t>
  </si>
  <si>
    <t>Полдник</t>
  </si>
  <si>
    <t>Итого за Полдник</t>
  </si>
  <si>
    <t>Всего за Понедельник-1</t>
  </si>
  <si>
    <t>День/неделя: Вторник-1</t>
  </si>
  <si>
    <t>Всего за Вторник-1</t>
  </si>
  <si>
    <t>День/неделя: Среда-1</t>
  </si>
  <si>
    <t>Всего за Среда-1</t>
  </si>
  <si>
    <t>День/неделя: Четверг-1</t>
  </si>
  <si>
    <t>Всего за Четверг-1</t>
  </si>
  <si>
    <t>День/неделя: Пятница-1</t>
  </si>
  <si>
    <t>Всего за Пятница-1</t>
  </si>
  <si>
    <t>День/неделя: Понедельник-2</t>
  </si>
  <si>
    <t>Всего за Понедельник-2</t>
  </si>
  <si>
    <t>День/неделя: Вторник-2</t>
  </si>
  <si>
    <t>Всего за Вторник-2</t>
  </si>
  <si>
    <t>День/неделя: Среда-2</t>
  </si>
  <si>
    <t>Всего за Среда-2</t>
  </si>
  <si>
    <t>День/неделя: Четверг-2</t>
  </si>
  <si>
    <t>Всего за Четверг-2</t>
  </si>
  <si>
    <t>День/неделя: Пятница-2</t>
  </si>
  <si>
    <t>Всего за Пятница-2</t>
  </si>
  <si>
    <t>Итого</t>
  </si>
  <si>
    <t>Возраст 7-11 лет</t>
  </si>
  <si>
    <t>Сезон осенне-зимний</t>
  </si>
  <si>
    <t>Итого за завтраки</t>
  </si>
  <si>
    <t>Среднее значение за завтраки</t>
  </si>
  <si>
    <t>Соотношение БЖУ в % от ЭЦ</t>
  </si>
  <si>
    <t xml:space="preserve">Выполнение СанПиН, % от суточной нормы </t>
  </si>
  <si>
    <t>Итого за второй завтрак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</si>
  <si>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</si>
  <si>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</si>
  <si>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</si>
  <si>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</si>
  <si>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</si>
  <si>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</si>
  <si>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</si>
  <si>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</si>
  <si>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</si>
  <si>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</si>
  <si>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</si>
  <si>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</si>
  <si>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</si>
  <si>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</si>
  <si>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</si>
  <si>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</si>
  <si>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</si>
  <si>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</si>
  <si>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</si>
  <si>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</si>
  <si>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</si>
  <si>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</si>
  <si>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</si>
  <si>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</si>
  <si>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</si>
  <si>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(ЖКТ)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</si>
  <si>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</si>
  <si>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День/неделя: Понедельник-1</t>
  </si>
  <si>
    <t>Бутерброд с сыром "Голландский" и маслом сливочным</t>
  </si>
  <si>
    <t xml:space="preserve">Каша жидкая молочная (рисовая) </t>
  </si>
  <si>
    <t>Какао с молоком</t>
  </si>
  <si>
    <t>Хлеб пшеничный</t>
  </si>
  <si>
    <t>Фрукты свежие (яблоки)</t>
  </si>
  <si>
    <t>Итого за завтрак</t>
  </si>
  <si>
    <t>Норма по СанПин</t>
  </si>
  <si>
    <t>Щи из свежей капусты с картофелем</t>
  </si>
  <si>
    <t>Гуляш</t>
  </si>
  <si>
    <t>Каша вязкая с маслом сливочным  (перловая) 105/5</t>
  </si>
  <si>
    <t>Фрукты свежие  (яблоки)</t>
  </si>
  <si>
    <t>Сок натуральный (грушевый)</t>
  </si>
  <si>
    <t xml:space="preserve">Хлеб пшеничный </t>
  </si>
  <si>
    <t>Хлеб ржаной йодированный</t>
  </si>
  <si>
    <t>Итого за обед</t>
  </si>
  <si>
    <t>День 2 (вторник)</t>
  </si>
  <si>
    <t>Завтрак</t>
  </si>
  <si>
    <t>Овощи свежие (огурцы)</t>
  </si>
  <si>
    <t>Жаркое по-домашнему</t>
  </si>
  <si>
    <t>*</t>
  </si>
  <si>
    <t>Фруктовый чай</t>
  </si>
  <si>
    <t>Кисломолочный продукт (кефир 2,5 %-ой жирности)</t>
  </si>
  <si>
    <t>Овощи свежие  (огурцы)</t>
  </si>
  <si>
    <t xml:space="preserve">Суп крестьянский с крупой </t>
  </si>
  <si>
    <t xml:space="preserve">Рыба припущенная </t>
  </si>
  <si>
    <t>Картофельное пюре</t>
  </si>
  <si>
    <t>Компот из сухофруктов</t>
  </si>
  <si>
    <t>Молоко 2,5 %-ной жирности</t>
  </si>
  <si>
    <t>День  3 (среда)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</si>
  <si>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</si>
  <si>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</si>
  <si>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 130/5</t>
  </si>
  <si>
    <t>*379</t>
  </si>
  <si>
    <t>Кофейный напиток на молоке</t>
  </si>
  <si>
    <t>Сок натуральный (яблочный)</t>
  </si>
  <si>
    <t>Суп картофельный с мясными фрикадельками 250/20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</si>
  <si>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</si>
  <si>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</si>
  <si>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</si>
  <si>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</si>
  <si>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День  4 (четверг)</t>
  </si>
  <si>
    <t>Салат из овощей (белокачанной капусты)</t>
  </si>
  <si>
    <t>Л 386/597</t>
  </si>
  <si>
    <t>Рыба запеченная с молочным соусом</t>
  </si>
  <si>
    <t>Чай с лимоном</t>
  </si>
  <si>
    <t>Пирог фруктовый "Школьный"</t>
  </si>
  <si>
    <t>Рассольник по-ленинградски</t>
  </si>
  <si>
    <t xml:space="preserve">Птица запеченная </t>
  </si>
  <si>
    <t>Рагу из овощей</t>
  </si>
  <si>
    <t>Фрукты свежие (груши)</t>
  </si>
  <si>
    <t>День  5 (пятница)</t>
  </si>
  <si>
    <t>Овощи свежие (помидоры)</t>
  </si>
  <si>
    <t>Омлет с колбасой или сосисками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</si>
  <si>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</si>
  <si>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</si>
  <si>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</si>
  <si>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</si>
  <si>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</si>
  <si>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День 6 (понедельник)</t>
  </si>
  <si>
    <t>Котлеты (биточки) особые</t>
  </si>
  <si>
    <t>Л 224</t>
  </si>
  <si>
    <t xml:space="preserve">Чай с сахаром </t>
  </si>
  <si>
    <t>Сок натуральный (персиковый)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</si>
  <si>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</si>
  <si>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</si>
  <si>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</si>
  <si>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</si>
  <si>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</si>
  <si>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День 7 (вторник)</t>
  </si>
  <si>
    <t xml:space="preserve">Шницель рыбный натуральный  </t>
  </si>
  <si>
    <t xml:space="preserve">Картофель отварной </t>
  </si>
  <si>
    <t xml:space="preserve">Напиток из сухофруктов </t>
  </si>
  <si>
    <t>Сок  натуральный (грушевый)</t>
  </si>
  <si>
    <t xml:space="preserve">Борщ </t>
  </si>
  <si>
    <t>256/330</t>
  </si>
  <si>
    <t>Мясо тушеное в соусе</t>
  </si>
  <si>
    <t>Каша вязкая с маслом сливочным (рисовая)  150/5</t>
  </si>
  <si>
    <t>Напиток из сухофруктов</t>
  </si>
  <si>
    <t>День 8 (среда)</t>
  </si>
  <si>
    <t>Салат из овощей (белокачанной капусты с морковью)</t>
  </si>
  <si>
    <t xml:space="preserve">Тефтели из говядины </t>
  </si>
  <si>
    <t>Соус сметанный</t>
  </si>
  <si>
    <t>Каша вязкая с маслом сливочным (гречневая)  150/5</t>
  </si>
  <si>
    <t>Кондитерское изделие (печенье сахарное)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</si>
  <si>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</si>
  <si>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</si>
  <si>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</si>
  <si>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</si>
  <si>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>Картофель отварной (с маслом сливочным) 140/5</t>
  </si>
  <si>
    <t xml:space="preserve">Компот из фруктов </t>
  </si>
  <si>
    <t>День 9 (четверг)</t>
  </si>
  <si>
    <t>Пудинг из творога (запечённый)</t>
  </si>
  <si>
    <t xml:space="preserve">Молоко сгущенное </t>
  </si>
  <si>
    <t>Кисломолочный продукт (йогурт 3,2 %-ой жирности)</t>
  </si>
  <si>
    <t>Л 145</t>
  </si>
  <si>
    <t>Суп летний овощной</t>
  </si>
  <si>
    <t>Шницель натуральный рубленный</t>
  </si>
  <si>
    <t>Каша вязкая с маслом сливочным (пшеничная) 150/5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</si>
  <si>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</si>
  <si>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</si>
  <si>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</si>
  <si>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День  10 (пятница)</t>
  </si>
  <si>
    <t>Фрикадельки из кур или бройлеров-цыплят</t>
  </si>
  <si>
    <t>Соус молочный</t>
  </si>
  <si>
    <t>Макаронные изделия отварные с маслом  110/5</t>
  </si>
  <si>
    <t>Фрукты свежие (персики)</t>
  </si>
  <si>
    <t>Борщ с капустой и картофелем</t>
  </si>
  <si>
    <t xml:space="preserve">Сосиска запеченная с сыром  </t>
  </si>
  <si>
    <t>Макаронные изделия отварные с овощами 125/5</t>
  </si>
  <si>
    <t>Кондитерское изделие (вафли молочные)</t>
  </si>
  <si>
    <t xml:space="preserve">Хлеб ржаной йодированный </t>
  </si>
  <si>
    <t>Макаронные изделия отварные с маслом</t>
  </si>
  <si>
    <t>Кофейный напиток</t>
  </si>
  <si>
    <t xml:space="preserve">Суп с макаронными изделиями </t>
  </si>
  <si>
    <t>Основное меню 7+ лет</t>
  </si>
  <si>
    <t>Меню ЖКТ 7+ лет</t>
  </si>
  <si>
    <t>Каша вязкая  молочная из овсяной крупы</t>
  </si>
  <si>
    <t>Фрукты (Бананы)</t>
  </si>
  <si>
    <t>382М/ЖКТ</t>
  </si>
  <si>
    <t>Итого за Завтрак</t>
  </si>
  <si>
    <t>Промежуточное питание</t>
  </si>
  <si>
    <t>Суфле творожное запеченное</t>
  </si>
  <si>
    <t xml:space="preserve">Йогурт </t>
  </si>
  <si>
    <t>386М</t>
  </si>
  <si>
    <t>Йогурт 1,5%</t>
  </si>
  <si>
    <t>Итого за Промежуточное питание</t>
  </si>
  <si>
    <t xml:space="preserve">Суп-лапша домашняя </t>
  </si>
  <si>
    <t>Биточек паровой (говядина)</t>
  </si>
  <si>
    <t>Каша вязкая с маслом сливочным  (перловая), 150/5</t>
  </si>
  <si>
    <t>359М</t>
  </si>
  <si>
    <t>Каша гречневая вязкая с маслом</t>
  </si>
  <si>
    <t>Фрукты свежие  (груши)</t>
  </si>
  <si>
    <t>349М/ЖКТ</t>
  </si>
  <si>
    <t xml:space="preserve">Компот из сухофруктов </t>
  </si>
  <si>
    <t>71М</t>
  </si>
  <si>
    <t>Подгарнировка из огурцов свежих без кожицы</t>
  </si>
  <si>
    <t>259М/ЖКТ</t>
  </si>
  <si>
    <t>Яблоки печеные</t>
  </si>
  <si>
    <t>Йогурт</t>
  </si>
  <si>
    <t>Суп крестьянский с крупой  (овсяная)</t>
  </si>
  <si>
    <t>312М/ЖКТ</t>
  </si>
  <si>
    <t xml:space="preserve">Яблоки печеные </t>
  </si>
  <si>
    <t>69К/ЖКТ</t>
  </si>
  <si>
    <t>Салат из отварной  моркови с сыром</t>
  </si>
  <si>
    <t>294М/ЖКТ</t>
  </si>
  <si>
    <t>Каша вязкая с маслом сливочным (ячневая), 130/5</t>
  </si>
  <si>
    <t>Чай с сахаром</t>
  </si>
  <si>
    <t>379М/ЖКТ</t>
  </si>
  <si>
    <t>Кофейный напиток с молоком</t>
  </si>
  <si>
    <t>Фрукты свежие  (бананы)</t>
  </si>
  <si>
    <t xml:space="preserve">Мусс яблочный </t>
  </si>
  <si>
    <t>Суп картофельный с мясными фрикадельками, 250/20</t>
  </si>
  <si>
    <t>223М/335М</t>
  </si>
  <si>
    <t>Запеканка творожная с соусом сметанным сладким, 120/30</t>
  </si>
  <si>
    <t>Кисель из ягод (черная смородина)</t>
  </si>
  <si>
    <t>Салат из свеклы отварной</t>
  </si>
  <si>
    <t>233М/328М/ЖКТ</t>
  </si>
  <si>
    <t>Рыба запеченая под молочным соусом</t>
  </si>
  <si>
    <t>Желе из молока</t>
  </si>
  <si>
    <t xml:space="preserve">Чай с молоком </t>
  </si>
  <si>
    <t>281М/330М</t>
  </si>
  <si>
    <t xml:space="preserve">Чай с сахаром  </t>
  </si>
  <si>
    <t>Икра морковная</t>
  </si>
  <si>
    <t>Пудинг творожный</t>
  </si>
  <si>
    <t>Каша вязкая с маслом сливочным (рисовая), 150/5</t>
  </si>
  <si>
    <t>Тефтели из говядины с соусом сметанным, 60/50</t>
  </si>
  <si>
    <t>Каша вязкая с маслом сливочным (гречневая), 150/5</t>
  </si>
  <si>
    <t>75/М/ЖКТ</t>
  </si>
  <si>
    <t>Икра свекольная</t>
  </si>
  <si>
    <t>156М/ЖКТ</t>
  </si>
  <si>
    <t>Биточек паровой рыбный с соусом сметанным, 80/30</t>
  </si>
  <si>
    <t>Картофель отварной (с маслом сливочным), 140/5</t>
  </si>
  <si>
    <t xml:space="preserve">Хлеб пшеничный  </t>
  </si>
  <si>
    <t>Пудинг из творога (запечённый) с молоком сгущенным, 160/15</t>
  </si>
  <si>
    <t xml:space="preserve">Суп с крупой рисовой </t>
  </si>
  <si>
    <t>Каша вязкая с маслом сливочным (пшеничная), 150/5</t>
  </si>
  <si>
    <t>Кисель из черной смородины</t>
  </si>
  <si>
    <t>297М</t>
  </si>
  <si>
    <t>Фрикадельки из кур или бройлеров-цыплят с соусом молочным, 65/50</t>
  </si>
  <si>
    <t>203М</t>
  </si>
  <si>
    <t>Макаронные изделия отварные с маслом, 110/5</t>
  </si>
  <si>
    <t xml:space="preserve">379М </t>
  </si>
  <si>
    <t>Фрукты свежие (бананы)</t>
  </si>
  <si>
    <t>362/М/ЖКТ</t>
  </si>
  <si>
    <t>Желе из ягод (черн.смородина)</t>
  </si>
  <si>
    <t>291М</t>
  </si>
  <si>
    <t>Суфле из отварного мяса (говядина)</t>
  </si>
  <si>
    <t xml:space="preserve">Макаронные изделия отварные с овощами, 125/5 </t>
  </si>
  <si>
    <t>Кисель из яблок</t>
  </si>
  <si>
    <t>Котлеты рубленные из птицы с соусом молочным, 80/30</t>
  </si>
  <si>
    <t xml:space="preserve">Биточек паровой (говядина) </t>
  </si>
  <si>
    <t xml:space="preserve">Кисель из кураги </t>
  </si>
  <si>
    <t>Суфле из говядины</t>
  </si>
  <si>
    <t xml:space="preserve">Каша гречневая вязкая с маслом </t>
  </si>
  <si>
    <t>Огурцы свежие</t>
  </si>
  <si>
    <t>Сравнительная структура типового основного и типового диетического (ЖКТ) меню</t>
  </si>
  <si>
    <t>Жаркое по-домашнему  (говядина)</t>
  </si>
  <si>
    <t>Йогурт 2,5%</t>
  </si>
  <si>
    <t xml:space="preserve">Рыба припущенная (горбуша филе) </t>
  </si>
  <si>
    <t>Суп-пюре картофельный с мясными фрикадельками, 230/20</t>
  </si>
  <si>
    <t>Фрукт груши</t>
  </si>
  <si>
    <t xml:space="preserve">Какао с молоком </t>
  </si>
  <si>
    <t xml:space="preserve">Кофейный напиток с молоком </t>
  </si>
  <si>
    <t>Кисель из кураги</t>
  </si>
  <si>
    <t>Фруктовый чай  (яблоки свежие)</t>
  </si>
  <si>
    <t>Икра кабачковая</t>
  </si>
  <si>
    <t>Суп-пюре овощной со сметаной, 240/10</t>
  </si>
  <si>
    <t>215М</t>
  </si>
  <si>
    <t xml:space="preserve">Омлет паровой </t>
  </si>
  <si>
    <t>Фруктовый чай  (яблоки свежие), 200</t>
  </si>
  <si>
    <t>128К</t>
  </si>
  <si>
    <t>Суп-пюре картофельный</t>
  </si>
  <si>
    <t>Фрукт (груши)</t>
  </si>
  <si>
    <t>Рыба, припущенная (минтай филе) с соусом сметанным, 60/30</t>
  </si>
  <si>
    <t>Фруктовый чай (яблоки свежие)</t>
  </si>
  <si>
    <t>Биточек паровой (говядина) с соусом сметанным, 60/30</t>
  </si>
  <si>
    <t>242К</t>
  </si>
  <si>
    <t>113М</t>
  </si>
  <si>
    <t>Суп-лапша домашняя</t>
  </si>
  <si>
    <t>281М</t>
  </si>
  <si>
    <t>Биточек паровой (говядина б/к)</t>
  </si>
  <si>
    <t>Компот из сухофруктов (яблоки сушеные)</t>
  </si>
  <si>
    <t>Подгарнировка из огурцов свежих (без кожицы)</t>
  </si>
  <si>
    <t>Жаркое по-домашнему (говядина б/к)</t>
  </si>
  <si>
    <t>372/М/ЖКТ</t>
  </si>
  <si>
    <t>98/М/СЖ</t>
  </si>
  <si>
    <t>Суп крестьянский с овсяной крупой</t>
  </si>
  <si>
    <t>227М</t>
  </si>
  <si>
    <t>Рыба припущенная (горбуша филе)</t>
  </si>
  <si>
    <t>312/М/ЖКТ</t>
  </si>
  <si>
    <t>349/М/ЖКТ</t>
  </si>
  <si>
    <t>73М</t>
  </si>
  <si>
    <t>69К</t>
  </si>
  <si>
    <t>294М</t>
  </si>
  <si>
    <t>Котлеты рубленные из птицы  (грудки куриные)</t>
  </si>
  <si>
    <t>326М</t>
  </si>
  <si>
    <t>369М/ЖКТ</t>
  </si>
  <si>
    <t>Мусс яблочный (на манной крупе)</t>
  </si>
  <si>
    <t>128/К/ЖКТ</t>
  </si>
  <si>
    <t>223М</t>
  </si>
  <si>
    <t>Запеканка творожная</t>
  </si>
  <si>
    <t>Кисель из плодов чёрной смородины</t>
  </si>
  <si>
    <t>52/М/ЖКТ</t>
  </si>
  <si>
    <t>233М/328М</t>
  </si>
  <si>
    <t>Рыба запеченая под молочным соусом (минтай)</t>
  </si>
  <si>
    <t>366/М/ЖКТ</t>
  </si>
  <si>
    <t>130К</t>
  </si>
  <si>
    <t>Суп-пюре овощной</t>
  </si>
  <si>
    <t>Сметана (10%)</t>
  </si>
  <si>
    <t>320К</t>
  </si>
  <si>
    <t>Птица запеченная (грудки кур)</t>
  </si>
  <si>
    <t>143М/ЖКТ</t>
  </si>
  <si>
    <t>378/М/ЖКТ</t>
  </si>
  <si>
    <t>Чай с молоком</t>
  </si>
  <si>
    <t>75М</t>
  </si>
  <si>
    <t>211М</t>
  </si>
  <si>
    <t>Рыба припущенная (минтай филе)</t>
  </si>
  <si>
    <t>330М</t>
  </si>
  <si>
    <t>Картофель отварной</t>
  </si>
  <si>
    <t>241К</t>
  </si>
  <si>
    <t>270/К</t>
  </si>
  <si>
    <t>Суфле из отварного мяса (говядина б/к)</t>
  </si>
  <si>
    <t>Тефтели из говядины</t>
  </si>
  <si>
    <t>Печенье</t>
  </si>
  <si>
    <t>156/К/БДМ</t>
  </si>
  <si>
    <t>Суп с макаронными изделиями</t>
  </si>
  <si>
    <t>234М</t>
  </si>
  <si>
    <t>Биточек рыбный паровой</t>
  </si>
  <si>
    <t>125/М/ЖКТ</t>
  </si>
  <si>
    <t>Пудинг из творога</t>
  </si>
  <si>
    <t>Молоко сгущенное</t>
  </si>
  <si>
    <t>115/М/ЖКТ</t>
  </si>
  <si>
    <t>Суп с крупой рисовой</t>
  </si>
  <si>
    <t>281/М/БМД</t>
  </si>
  <si>
    <t>Каша вязкая пшеничная с маслом сливочным</t>
  </si>
  <si>
    <t>Фрикадельки из кур</t>
  </si>
  <si>
    <t>Макаронные изделия отварные</t>
  </si>
  <si>
    <t>Вафли</t>
  </si>
  <si>
    <t xml:space="preserve">Каша вязкая гречневая на воде </t>
  </si>
  <si>
    <t xml:space="preserve">Фрукты (Груши) </t>
  </si>
  <si>
    <t xml:space="preserve">Желе из ягод (черн.смородина) </t>
  </si>
  <si>
    <t xml:space="preserve">Кисель из яблок </t>
  </si>
  <si>
    <t>Бутерброд с сыром и маслом, 20/15/5</t>
  </si>
  <si>
    <t>Фрукты (Груши)</t>
  </si>
  <si>
    <t>Рыба тушеная с овощами (треска)</t>
  </si>
  <si>
    <t>Представленное Меню основного (организованного) питания общеобразовательных организаций Краснодарского края</t>
  </si>
  <si>
    <t>возрастная категоря 7-11 лет</t>
  </si>
  <si>
    <t>Рагу из овощей (адапт.для меню ЖКТ Краснодар, капуста min)</t>
  </si>
  <si>
    <t>309М/жкт</t>
  </si>
  <si>
    <t>Рагу из овощей (адапт.по капусте)</t>
  </si>
  <si>
    <t xml:space="preserve">Каша рисовая вязкая на воде с маслом сливочным </t>
  </si>
  <si>
    <t>Фрукты (банан)</t>
  </si>
  <si>
    <t>173М/ЖКТ</t>
  </si>
  <si>
    <t>309М/ЖКТ</t>
  </si>
  <si>
    <t>350М/ЖКТ</t>
  </si>
  <si>
    <t>376М/ЖКТ</t>
  </si>
  <si>
    <t>355М/ЖКТ</t>
  </si>
  <si>
    <t>125М/ЖКТ</t>
  </si>
  <si>
    <t>222М/ЖКТ</t>
  </si>
  <si>
    <t>297/М/ЖКТ</t>
  </si>
  <si>
    <t>352М/ЖКТ</t>
  </si>
  <si>
    <t>259/М/ЖКТ</t>
  </si>
  <si>
    <t>174М/ЖКТ</t>
  </si>
  <si>
    <t>День/неделя: Понедельник -1</t>
  </si>
  <si>
    <t xml:space="preserve">Вариант реализации 10-ти дневного типового диетического меню для обучающихся общеобразовательных организаций Краснодарского края с забелеванием органов пищеварения </t>
  </si>
  <si>
    <t>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</si>
</sst>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₽_-;\-* #,##0.00\ _₽_-;_-* &quot;-&quot;??\ _₽_-;_-@_-"/>
    <numFmt numFmtId="164" formatCode="0&quot;М/ссж&quot;"/>
    <numFmt numFmtId="165" formatCode="0.000"/>
    <numFmt numFmtId="166" formatCode="0&quot;М&quot;"/>
    <numFmt numFmtId="167" formatCode="0&quot;К&quot;"/>
    <numFmt numFmtId="168" formatCode="0&quot;/М/СД&quot;"/>
    <numFmt numFmtId="169" formatCode="0&quot;/М/ЖКТ&quot;"/>
    <numFmt numFmtId="170" formatCode="0&quot;М/ЖКТ&quot;"/>
    <numFmt numFmtId="171" formatCode="0&quot;/К/ЖКТ&quot;"/>
    <numFmt numFmtId="172" formatCode="0&quot;К/ссж&quot;"/>
    <numFmt numFmtId="173" formatCode="0&quot;/К/БДМ&quot;"/>
    <numFmt numFmtId="174" formatCode="0&quot;/М/БМД&quot;"/>
    <numFmt numFmtId="175" formatCode="0&quot;М/БМД&quot;"/>
    <numFmt numFmtId="176" formatCode="0&quot;М/328М/ссж&quot;"/>
    <numFmt numFmtId="177" formatCode="0&quot;/М/ссж&quot;"/>
    <numFmt numFmtId="178" formatCode="0&quot;М/330М&quot;"/>
  </numFmts>
  <fonts count="3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0" fillId="0" borderId="0"/>
    <xf numFmtId="0" fontId="1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right"/>
    </xf>
    <xf numFmtId="0" fontId="4" fillId="5" borderId="0" xfId="2" applyFont="1" applyFill="1"/>
    <xf numFmtId="0" fontId="5" fillId="5" borderId="0" xfId="2" applyFont="1" applyFill="1"/>
    <xf numFmtId="0" fontId="3" fillId="5" borderId="9" xfId="0" applyFont="1" applyFill="1" applyBorder="1" applyAlignment="1">
      <alignment horizontal="center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horizontal="right" vertical="center" wrapText="1"/>
    </xf>
    <xf numFmtId="9" fontId="6" fillId="5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right" vertical="center" wrapText="1"/>
    </xf>
    <xf numFmtId="9" fontId="6" fillId="5" borderId="0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vertical="center" wrapText="1"/>
    </xf>
    <xf numFmtId="2" fontId="6" fillId="5" borderId="1" xfId="2" applyNumberFormat="1" applyFont="1" applyFill="1" applyBorder="1" applyAlignment="1">
      <alignment vertical="center" wrapText="1"/>
    </xf>
    <xf numFmtId="2" fontId="6" fillId="5" borderId="1" xfId="2" applyNumberFormat="1" applyFont="1" applyFill="1" applyBorder="1"/>
    <xf numFmtId="2" fontId="6" fillId="5" borderId="1" xfId="2" applyNumberFormat="1" applyFont="1" applyFill="1" applyBorder="1" applyAlignment="1">
      <alignment horizontal="right"/>
    </xf>
    <xf numFmtId="0" fontId="7" fillId="0" borderId="0" xfId="0" applyFont="1"/>
    <xf numFmtId="9" fontId="6" fillId="4" borderId="1" xfId="2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2" fontId="9" fillId="0" borderId="1" xfId="8" applyNumberFormat="1" applyFont="1" applyFill="1" applyBorder="1" applyAlignment="1">
      <alignment horizontal="right"/>
    </xf>
    <xf numFmtId="2" fontId="9" fillId="5" borderId="0" xfId="0" applyNumberFormat="1" applyFont="1" applyFill="1"/>
    <xf numFmtId="2" fontId="9" fillId="5" borderId="1" xfId="0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/>
    </xf>
    <xf numFmtId="0" fontId="17" fillId="5" borderId="0" xfId="2" applyNumberFormat="1" applyFont="1" applyFill="1" applyAlignment="1">
      <alignment horizontal="left" vertical="justify"/>
    </xf>
    <xf numFmtId="0" fontId="17" fillId="5" borderId="0" xfId="2" applyNumberFormat="1" applyFont="1" applyFill="1" applyAlignment="1">
      <alignment vertical="center"/>
    </xf>
    <xf numFmtId="0" fontId="2" fillId="5" borderId="0" xfId="2" applyFont="1" applyFill="1"/>
    <xf numFmtId="0" fontId="2" fillId="5" borderId="0" xfId="2" applyFont="1" applyFill="1" applyAlignment="1">
      <alignment horizontal="right"/>
    </xf>
    <xf numFmtId="0" fontId="15" fillId="5" borderId="0" xfId="2" applyNumberFormat="1" applyFont="1" applyFill="1" applyBorder="1" applyAlignment="1">
      <alignment horizontal="left" vertical="justify"/>
    </xf>
    <xf numFmtId="0" fontId="15" fillId="5" borderId="0" xfId="2" applyNumberFormat="1" applyFont="1" applyFill="1" applyBorder="1" applyAlignment="1">
      <alignment vertical="center"/>
    </xf>
    <xf numFmtId="0" fontId="14" fillId="5" borderId="0" xfId="2" applyFont="1" applyFill="1" applyBorder="1"/>
    <xf numFmtId="0" fontId="14" fillId="5" borderId="0" xfId="2" applyFont="1" applyFill="1" applyBorder="1" applyAlignment="1">
      <alignment horizontal="right"/>
    </xf>
    <xf numFmtId="0" fontId="14" fillId="5" borderId="0" xfId="2" applyFont="1" applyFill="1"/>
    <xf numFmtId="0" fontId="15" fillId="5" borderId="0" xfId="2" applyNumberFormat="1" applyFont="1" applyFill="1" applyBorder="1" applyAlignment="1">
      <alignment horizontal="left" vertical="center"/>
    </xf>
    <xf numFmtId="0" fontId="2" fillId="5" borderId="0" xfId="0" applyNumberFormat="1" applyFont="1" applyFill="1" applyBorder="1" applyAlignment="1">
      <alignment horizontal="left" vertical="center" wrapText="1"/>
    </xf>
    <xf numFmtId="0" fontId="2" fillId="5" borderId="0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Alignment="1">
      <alignment horizontal="left" vertical="center" wrapText="1"/>
    </xf>
    <xf numFmtId="0" fontId="2" fillId="5" borderId="0" xfId="0" applyNumberFormat="1" applyFont="1" applyFill="1" applyAlignment="1">
      <alignment horizontal="center" vertical="center" wrapText="1"/>
    </xf>
    <xf numFmtId="0" fontId="18" fillId="5" borderId="0" xfId="0" applyNumberFormat="1" applyFont="1" applyFill="1" applyAlignment="1">
      <alignment horizontal="left" vertical="center" wrapText="1"/>
    </xf>
    <xf numFmtId="0" fontId="18" fillId="5" borderId="0" xfId="0" applyNumberFormat="1" applyFont="1" applyFill="1" applyAlignment="1">
      <alignment vertical="center" wrapText="1"/>
    </xf>
    <xf numFmtId="0" fontId="15" fillId="5" borderId="1" xfId="0" applyFont="1" applyFill="1" applyBorder="1" applyAlignment="1">
      <alignment vertical="justify"/>
    </xf>
    <xf numFmtId="0" fontId="14" fillId="5" borderId="0" xfId="0" applyNumberFormat="1" applyFont="1" applyFill="1" applyAlignment="1">
      <alignment horizontal="left" vertical="center" wrapText="1"/>
    </xf>
    <xf numFmtId="0" fontId="14" fillId="5" borderId="1" xfId="9" applyNumberFormat="1" applyFont="1" applyFill="1" applyBorder="1" applyAlignment="1">
      <alignment horizontal="left" vertical="center" wrapText="1"/>
    </xf>
    <xf numFmtId="1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left" vertical="center" wrapText="1"/>
    </xf>
    <xf numFmtId="1" fontId="14" fillId="5" borderId="1" xfId="1" applyNumberFormat="1" applyFont="1" applyFill="1" applyBorder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vertical="center" wrapText="1"/>
    </xf>
    <xf numFmtId="0" fontId="18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horizontal="right" vertical="center" wrapText="1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/>
    <xf numFmtId="0" fontId="18" fillId="5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right"/>
    </xf>
    <xf numFmtId="0" fontId="14" fillId="5" borderId="1" xfId="9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vertical="justify"/>
    </xf>
    <xf numFmtId="1" fontId="14" fillId="5" borderId="1" xfId="0" applyNumberFormat="1" applyFont="1" applyFill="1" applyBorder="1" applyAlignment="1"/>
    <xf numFmtId="2" fontId="14" fillId="5" borderId="1" xfId="0" applyNumberFormat="1" applyFont="1" applyFill="1" applyBorder="1" applyAlignment="1">
      <alignment vertical="justify"/>
    </xf>
    <xf numFmtId="1" fontId="18" fillId="5" borderId="1" xfId="0" applyNumberFormat="1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justify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/>
    <xf numFmtId="0" fontId="2" fillId="5" borderId="0" xfId="0" applyFont="1" applyFill="1" applyAlignment="1">
      <alignment horizontal="right"/>
    </xf>
    <xf numFmtId="0" fontId="18" fillId="5" borderId="12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justify"/>
    </xf>
    <xf numFmtId="0" fontId="19" fillId="5" borderId="1" xfId="0" applyFont="1" applyFill="1" applyBorder="1" applyAlignment="1">
      <alignment horizontal="right"/>
    </xf>
    <xf numFmtId="0" fontId="19" fillId="5" borderId="1" xfId="0" applyFont="1" applyFill="1" applyBorder="1" applyAlignment="1"/>
    <xf numFmtId="0" fontId="18" fillId="5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vertical="justify"/>
    </xf>
    <xf numFmtId="0" fontId="18" fillId="5" borderId="0" xfId="0" applyFont="1" applyFill="1" applyBorder="1" applyAlignment="1">
      <alignment horizontal="left"/>
    </xf>
    <xf numFmtId="0" fontId="14" fillId="5" borderId="4" xfId="0" applyFont="1" applyFill="1" applyBorder="1" applyAlignment="1">
      <alignment vertical="justify"/>
    </xf>
    <xf numFmtId="0" fontId="19" fillId="5" borderId="13" xfId="0" applyFont="1" applyFill="1" applyBorder="1"/>
    <xf numFmtId="0" fontId="18" fillId="5" borderId="13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/>
    <xf numFmtId="0" fontId="18" fillId="5" borderId="0" xfId="0" applyFont="1" applyFill="1" applyAlignment="1">
      <alignment horizontal="right"/>
    </xf>
    <xf numFmtId="0" fontId="14" fillId="5" borderId="1" xfId="0" applyFont="1" applyFill="1" applyBorder="1" applyAlignment="1">
      <alignment horizontal="right"/>
    </xf>
    <xf numFmtId="1" fontId="14" fillId="5" borderId="13" xfId="0" applyNumberFormat="1" applyFont="1" applyFill="1" applyBorder="1" applyAlignment="1"/>
    <xf numFmtId="0" fontId="19" fillId="5" borderId="13" xfId="0" applyFont="1" applyFill="1" applyBorder="1" applyAlignment="1">
      <alignment vertical="justify"/>
    </xf>
    <xf numFmtId="0" fontId="17" fillId="5" borderId="13" xfId="0" applyFont="1" applyFill="1" applyBorder="1"/>
    <xf numFmtId="0" fontId="17" fillId="5" borderId="1" xfId="0" applyFont="1" applyFill="1" applyBorder="1" applyAlignment="1">
      <alignment vertical="justify"/>
    </xf>
    <xf numFmtId="0" fontId="19" fillId="5" borderId="0" xfId="0" applyFont="1" applyFill="1" applyBorder="1" applyAlignment="1">
      <alignment horizontal="right"/>
    </xf>
    <xf numFmtId="0" fontId="19" fillId="5" borderId="0" xfId="0" applyFont="1" applyFill="1" applyBorder="1"/>
    <xf numFmtId="0" fontId="2" fillId="5" borderId="0" xfId="0" applyNumberFormat="1" applyFont="1" applyFill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justify"/>
    </xf>
    <xf numFmtId="0" fontId="15" fillId="5" borderId="0" xfId="2" applyNumberFormat="1" applyFont="1" applyFill="1" applyAlignment="1">
      <alignment horizontal="left" vertical="justify"/>
    </xf>
    <xf numFmtId="0" fontId="15" fillId="5" borderId="0" xfId="2" applyNumberFormat="1" applyFont="1" applyFill="1" applyAlignment="1">
      <alignment vertical="center"/>
    </xf>
    <xf numFmtId="0" fontId="14" fillId="5" borderId="0" xfId="2" applyNumberFormat="1" applyFont="1" applyFill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Border="1" applyAlignment="1">
      <alignment horizontal="right"/>
    </xf>
    <xf numFmtId="2" fontId="9" fillId="5" borderId="0" xfId="1" applyNumberFormat="1" applyFont="1" applyFill="1"/>
    <xf numFmtId="2" fontId="11" fillId="5" borderId="1" xfId="1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center" wrapText="1"/>
    </xf>
    <xf numFmtId="2" fontId="9" fillId="0" borderId="1" xfId="8" applyNumberFormat="1" applyFont="1" applyFill="1" applyBorder="1" applyAlignment="1">
      <alignment wrapText="1"/>
    </xf>
    <xf numFmtId="1" fontId="9" fillId="0" borderId="1" xfId="8" applyNumberFormat="1" applyFont="1" applyFill="1" applyBorder="1" applyAlignment="1">
      <alignment horizontal="right" wrapText="1"/>
    </xf>
    <xf numFmtId="2" fontId="9" fillId="0" borderId="1" xfId="8" applyNumberFormat="1" applyFont="1" applyFill="1" applyBorder="1"/>
    <xf numFmtId="0" fontId="9" fillId="5" borderId="0" xfId="8" applyNumberFormat="1" applyFont="1" applyFill="1" applyBorder="1" applyAlignment="1">
      <alignment horizontal="center" wrapText="1"/>
    </xf>
    <xf numFmtId="2" fontId="9" fillId="5" borderId="4" xfId="8" applyNumberFormat="1" applyFont="1" applyFill="1" applyBorder="1" applyAlignment="1">
      <alignment wrapText="1"/>
    </xf>
    <xf numFmtId="1" fontId="9" fillId="5" borderId="4" xfId="8" applyNumberFormat="1" applyFont="1" applyFill="1" applyBorder="1" applyAlignment="1">
      <alignment horizontal="right" wrapText="1"/>
    </xf>
    <xf numFmtId="0" fontId="11" fillId="2" borderId="1" xfId="8" applyNumberFormat="1" applyFont="1" applyFill="1" applyBorder="1" applyAlignment="1">
      <alignment horizontal="center" wrapText="1"/>
    </xf>
    <xf numFmtId="2" fontId="11" fillId="2" borderId="1" xfId="8" applyNumberFormat="1" applyFont="1" applyFill="1" applyBorder="1" applyAlignment="1">
      <alignment horizontal="left" wrapText="1"/>
    </xf>
    <xf numFmtId="1" fontId="11" fillId="2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wrapText="1"/>
    </xf>
    <xf numFmtId="0" fontId="11" fillId="5" borderId="3" xfId="8" applyNumberFormat="1" applyFont="1" applyFill="1" applyBorder="1" applyAlignment="1">
      <alignment horizontal="center" wrapText="1"/>
    </xf>
    <xf numFmtId="0" fontId="9" fillId="5" borderId="1" xfId="8" applyFont="1" applyFill="1" applyBorder="1"/>
    <xf numFmtId="1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/>
    <xf numFmtId="0" fontId="9" fillId="0" borderId="1" xfId="8" applyFont="1" applyFill="1" applyBorder="1" applyAlignment="1">
      <alignment horizontal="center"/>
    </xf>
    <xf numFmtId="0" fontId="9" fillId="0" borderId="1" xfId="8" applyFont="1" applyFill="1" applyBorder="1"/>
    <xf numFmtId="1" fontId="9" fillId="0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 vertical="center"/>
    </xf>
    <xf numFmtId="2" fontId="9" fillId="5" borderId="12" xfId="8" applyNumberFormat="1" applyFont="1" applyFill="1" applyBorder="1" applyAlignment="1">
      <alignment horizontal="right"/>
    </xf>
    <xf numFmtId="2" fontId="9" fillId="5" borderId="12" xfId="8" applyNumberFormat="1" applyFont="1" applyFill="1" applyBorder="1" applyAlignment="1">
      <alignment horizontal="right" vertical="center"/>
    </xf>
    <xf numFmtId="0" fontId="9" fillId="0" borderId="0" xfId="8" applyFont="1" applyFill="1" applyAlignment="1">
      <alignment horizontal="center"/>
    </xf>
    <xf numFmtId="1" fontId="9" fillId="0" borderId="4" xfId="8" applyNumberFormat="1" applyFont="1" applyFill="1" applyBorder="1" applyAlignment="1">
      <alignment horizontal="right"/>
    </xf>
    <xf numFmtId="2" fontId="9" fillId="0" borderId="1" xfId="8" applyNumberFormat="1" applyFont="1" applyBorder="1"/>
    <xf numFmtId="1" fontId="9" fillId="0" borderId="1" xfId="8" applyNumberFormat="1" applyFont="1" applyBorder="1" applyAlignment="1">
      <alignment horizontal="right"/>
    </xf>
    <xf numFmtId="1" fontId="9" fillId="7" borderId="1" xfId="8" applyNumberFormat="1" applyFont="1" applyFill="1" applyBorder="1" applyAlignment="1">
      <alignment horizontal="right" wrapText="1"/>
    </xf>
    <xf numFmtId="2" fontId="9" fillId="7" borderId="1" xfId="8" applyNumberFormat="1" applyFont="1" applyFill="1" applyBorder="1" applyAlignment="1">
      <alignment wrapText="1"/>
    </xf>
    <xf numFmtId="0" fontId="9" fillId="0" borderId="4" xfId="8" applyNumberFormat="1" applyFont="1" applyFill="1" applyBorder="1" applyAlignment="1">
      <alignment horizontal="center" wrapText="1"/>
    </xf>
    <xf numFmtId="2" fontId="9" fillId="0" borderId="4" xfId="8" applyNumberFormat="1" applyFont="1" applyFill="1" applyBorder="1" applyAlignment="1">
      <alignment wrapText="1"/>
    </xf>
    <xf numFmtId="1" fontId="9" fillId="0" borderId="4" xfId="8" applyNumberFormat="1" applyFont="1" applyFill="1" applyBorder="1" applyAlignment="1">
      <alignment horizontal="right" wrapText="1"/>
    </xf>
    <xf numFmtId="0" fontId="9" fillId="5" borderId="1" xfId="8" applyNumberFormat="1" applyFont="1" applyFill="1" applyBorder="1" applyAlignment="1">
      <alignment horizontal="center" wrapText="1"/>
    </xf>
    <xf numFmtId="0" fontId="11" fillId="5" borderId="1" xfId="8" applyFont="1" applyFill="1" applyBorder="1" applyAlignment="1">
      <alignment horizontal="center" wrapText="1"/>
    </xf>
    <xf numFmtId="1" fontId="9" fillId="5" borderId="13" xfId="8" applyNumberFormat="1" applyFont="1" applyFill="1" applyBorder="1" applyAlignment="1">
      <alignment horizontal="right"/>
    </xf>
    <xf numFmtId="2" fontId="9" fillId="5" borderId="12" xfId="8" applyNumberFormat="1" applyFont="1" applyFill="1" applyBorder="1"/>
    <xf numFmtId="1" fontId="11" fillId="2" borderId="1" xfId="8" applyNumberFormat="1" applyFont="1" applyFill="1" applyBorder="1" applyAlignment="1">
      <alignment horizontal="center"/>
    </xf>
    <xf numFmtId="2" fontId="11" fillId="2" borderId="1" xfId="8" applyNumberFormat="1" applyFont="1" applyFill="1" applyBorder="1" applyAlignment="1"/>
    <xf numFmtId="1" fontId="11" fillId="2" borderId="1" xfId="8" applyNumberFormat="1" applyFont="1" applyFill="1" applyBorder="1" applyAlignment="1">
      <alignment horizontal="right"/>
    </xf>
    <xf numFmtId="2" fontId="11" fillId="2" borderId="1" xfId="8" applyNumberFormat="1" applyFont="1" applyFill="1" applyBorder="1" applyAlignment="1">
      <alignment horizontal="right"/>
    </xf>
    <xf numFmtId="0" fontId="9" fillId="0" borderId="0" xfId="8" applyNumberFormat="1" applyFont="1" applyFill="1" applyAlignment="1">
      <alignment horizontal="center" wrapText="1"/>
    </xf>
    <xf numFmtId="0" fontId="9" fillId="5" borderId="0" xfId="8" applyFont="1" applyFill="1" applyBorder="1" applyAlignment="1">
      <alignment horizontal="center"/>
    </xf>
    <xf numFmtId="0" fontId="9" fillId="5" borderId="4" xfId="8" applyFont="1" applyFill="1" applyBorder="1"/>
    <xf numFmtId="1" fontId="9" fillId="5" borderId="4" xfId="8" applyNumberFormat="1" applyFont="1" applyFill="1" applyBorder="1" applyAlignment="1">
      <alignment horizontal="right"/>
    </xf>
    <xf numFmtId="0" fontId="9" fillId="5" borderId="1" xfId="8" applyFont="1" applyFill="1" applyBorder="1" applyAlignment="1">
      <alignment horizontal="center"/>
    </xf>
    <xf numFmtId="2" fontId="9" fillId="5" borderId="1" xfId="8" applyNumberFormat="1" applyFont="1" applyFill="1" applyBorder="1" applyAlignment="1">
      <alignment vertical="center"/>
    </xf>
    <xf numFmtId="0" fontId="9" fillId="0" borderId="4" xfId="8" applyFont="1" applyFill="1" applyBorder="1"/>
    <xf numFmtId="2" fontId="9" fillId="0" borderId="1" xfId="8" applyNumberFormat="1" applyFont="1" applyFill="1" applyBorder="1" applyAlignment="1">
      <alignment horizontal="right" vertical="center"/>
    </xf>
    <xf numFmtId="0" fontId="9" fillId="0" borderId="12" xfId="8" applyNumberFormat="1" applyFont="1" applyFill="1" applyBorder="1" applyAlignment="1">
      <alignment horizontal="center" wrapText="1"/>
    </xf>
    <xf numFmtId="0" fontId="9" fillId="5" borderId="12" xfId="8" applyNumberFormat="1" applyFont="1" applyFill="1" applyBorder="1" applyAlignment="1">
      <alignment horizontal="center" wrapText="1"/>
    </xf>
    <xf numFmtId="2" fontId="9" fillId="5" borderId="12" xfId="8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/>
    </xf>
    <xf numFmtId="0" fontId="9" fillId="5" borderId="12" xfId="8" applyFont="1" applyFill="1" applyBorder="1" applyAlignment="1">
      <alignment horizontal="center"/>
    </xf>
    <xf numFmtId="0" fontId="9" fillId="0" borderId="12" xfId="8" applyFont="1" applyFill="1" applyBorder="1" applyAlignment="1">
      <alignment horizontal="center"/>
    </xf>
    <xf numFmtId="2" fontId="9" fillId="0" borderId="1" xfId="8" applyNumberFormat="1" applyFont="1" applyBorder="1" applyAlignment="1">
      <alignment horizontal="right"/>
    </xf>
    <xf numFmtId="0" fontId="9" fillId="0" borderId="2" xfId="8" applyNumberFormat="1" applyFont="1" applyFill="1" applyBorder="1" applyAlignment="1">
      <alignment horizontal="center" wrapText="1"/>
    </xf>
    <xf numFmtId="2" fontId="9" fillId="0" borderId="2" xfId="8" applyNumberFormat="1" applyFont="1" applyFill="1" applyBorder="1" applyAlignment="1">
      <alignment wrapText="1"/>
    </xf>
    <xf numFmtId="1" fontId="9" fillId="0" borderId="2" xfId="8" applyNumberFormat="1" applyFont="1" applyFill="1" applyBorder="1" applyAlignment="1">
      <alignment horizontal="right" wrapText="1"/>
    </xf>
    <xf numFmtId="0" fontId="9" fillId="5" borderId="4" xfId="8" applyFont="1" applyFill="1" applyBorder="1" applyAlignment="1">
      <alignment horizontal="center" wrapText="1"/>
    </xf>
    <xf numFmtId="0" fontId="9" fillId="5" borderId="4" xfId="8" applyFont="1" applyFill="1" applyBorder="1" applyAlignment="1">
      <alignment horizontal="left" wrapText="1"/>
    </xf>
    <xf numFmtId="2" fontId="9" fillId="5" borderId="1" xfId="8" applyNumberFormat="1" applyFont="1" applyFill="1" applyBorder="1" applyAlignment="1">
      <alignment wrapText="1"/>
    </xf>
    <xf numFmtId="1" fontId="9" fillId="5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horizontal="left"/>
    </xf>
    <xf numFmtId="2" fontId="9" fillId="5" borderId="1" xfId="8" applyNumberFormat="1" applyFont="1" applyFill="1" applyBorder="1" applyAlignment="1">
      <alignment horizontal="center"/>
    </xf>
    <xf numFmtId="1" fontId="9" fillId="0" borderId="1" xfId="8" applyNumberFormat="1" applyFont="1" applyBorder="1" applyAlignment="1">
      <alignment horizontal="center"/>
    </xf>
    <xf numFmtId="1" fontId="9" fillId="2" borderId="1" xfId="8" applyNumberFormat="1" applyFont="1" applyFill="1" applyBorder="1" applyAlignment="1">
      <alignment horizontal="center"/>
    </xf>
    <xf numFmtId="166" fontId="9" fillId="5" borderId="1" xfId="9" applyNumberFormat="1" applyFont="1" applyFill="1" applyBorder="1" applyAlignment="1">
      <alignment horizontal="center" vertical="center" wrapText="1"/>
    </xf>
    <xf numFmtId="0" fontId="9" fillId="5" borderId="1" xfId="9" applyNumberFormat="1" applyFont="1" applyFill="1" applyBorder="1" applyAlignment="1">
      <alignment horizontal="left" vertical="center" wrapText="1"/>
    </xf>
    <xf numFmtId="2" fontId="9" fillId="5" borderId="1" xfId="9" applyNumberFormat="1" applyFont="1" applyFill="1" applyBorder="1" applyAlignment="1">
      <alignment horizontal="center" vertical="center" wrapText="1"/>
    </xf>
    <xf numFmtId="0" fontId="11" fillId="5" borderId="0" xfId="1" applyNumberFormat="1" applyFont="1" applyFill="1" applyBorder="1" applyAlignment="1">
      <alignment horizontal="center" vertical="center"/>
    </xf>
    <xf numFmtId="2" fontId="11" fillId="5" borderId="0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11" fillId="5" borderId="1" xfId="3" applyNumberFormat="1" applyFont="1" applyFill="1" applyBorder="1" applyAlignment="1">
      <alignment horizontal="center" vertical="center" wrapText="1"/>
    </xf>
    <xf numFmtId="9" fontId="11" fillId="5" borderId="1" xfId="4" applyNumberFormat="1" applyFont="1" applyFill="1" applyBorder="1" applyAlignment="1">
      <alignment horizontal="center" vertical="center" wrapText="1"/>
    </xf>
    <xf numFmtId="2" fontId="11" fillId="5" borderId="1" xfId="4" applyNumberFormat="1" applyFont="1" applyFill="1" applyBorder="1" applyAlignment="1">
      <alignment horizontal="center" vertical="center" wrapText="1"/>
    </xf>
    <xf numFmtId="9" fontId="11" fillId="2" borderId="1" xfId="4" applyNumberFormat="1" applyFont="1" applyFill="1" applyBorder="1" applyAlignment="1">
      <alignment horizontal="center"/>
    </xf>
    <xf numFmtId="0" fontId="9" fillId="8" borderId="1" xfId="0" applyFont="1" applyFill="1" applyBorder="1"/>
    <xf numFmtId="9" fontId="11" fillId="9" borderId="1" xfId="4" applyNumberFormat="1" applyFont="1" applyFill="1" applyBorder="1" applyAlignment="1">
      <alignment horizontal="center"/>
    </xf>
    <xf numFmtId="0" fontId="9" fillId="5" borderId="1" xfId="0" applyFont="1" applyFill="1" applyBorder="1"/>
    <xf numFmtId="2" fontId="11" fillId="5" borderId="1" xfId="5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/>
    </xf>
    <xf numFmtId="2" fontId="9" fillId="5" borderId="1" xfId="6" applyNumberFormat="1" applyFont="1" applyFill="1" applyBorder="1" applyAlignment="1">
      <alignment horizontal="center" vertical="center" wrapText="1"/>
    </xf>
    <xf numFmtId="0" fontId="17" fillId="5" borderId="0" xfId="2" applyNumberFormat="1" applyFont="1" applyFill="1" applyAlignment="1">
      <alignment horizontal="left" vertical="center"/>
    </xf>
    <xf numFmtId="0" fontId="17" fillId="5" borderId="0" xfId="2" applyNumberFormat="1" applyFont="1" applyFill="1" applyBorder="1" applyAlignment="1">
      <alignment horizontal="left" vertical="center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/>
    <xf numFmtId="0" fontId="19" fillId="5" borderId="0" xfId="0" applyNumberFormat="1" applyFont="1" applyFill="1" applyAlignment="1">
      <alignment horizontal="left" vertical="center" wrapText="1"/>
    </xf>
    <xf numFmtId="0" fontId="19" fillId="5" borderId="0" xfId="0" applyNumberFormat="1" applyFont="1" applyFill="1" applyAlignment="1">
      <alignment vertical="center" wrapText="1"/>
    </xf>
    <xf numFmtId="0" fontId="15" fillId="5" borderId="1" xfId="0" applyFont="1" applyFill="1" applyBorder="1"/>
    <xf numFmtId="2" fontId="15" fillId="5" borderId="1" xfId="0" applyNumberFormat="1" applyFont="1" applyFill="1" applyBorder="1" applyAlignment="1">
      <alignment vertical="justify"/>
    </xf>
    <xf numFmtId="0" fontId="19" fillId="5" borderId="1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right" vertical="center" wrapText="1"/>
    </xf>
    <xf numFmtId="0" fontId="19" fillId="5" borderId="0" xfId="0" applyNumberFormat="1" applyFont="1" applyFill="1" applyBorder="1" applyAlignment="1">
      <alignment vertical="center" wrapText="1"/>
    </xf>
    <xf numFmtId="0" fontId="17" fillId="5" borderId="0" xfId="0" applyFont="1" applyFill="1" applyAlignment="1">
      <alignment horizontal="left"/>
    </xf>
    <xf numFmtId="0" fontId="17" fillId="5" borderId="0" xfId="0" applyFont="1" applyFill="1" applyAlignment="1"/>
    <xf numFmtId="0" fontId="15" fillId="5" borderId="4" xfId="0" applyFont="1" applyFill="1" applyBorder="1"/>
    <xf numFmtId="0" fontId="15" fillId="5" borderId="4" xfId="0" applyFont="1" applyFill="1" applyBorder="1" applyAlignment="1">
      <alignment vertical="justify"/>
    </xf>
    <xf numFmtId="1" fontId="15" fillId="5" borderId="1" xfId="0" applyNumberFormat="1" applyFont="1" applyFill="1" applyBorder="1" applyAlignment="1"/>
    <xf numFmtId="1" fontId="15" fillId="5" borderId="13" xfId="0" applyNumberFormat="1" applyFont="1" applyFill="1" applyBorder="1" applyAlignment="1"/>
    <xf numFmtId="1" fontId="19" fillId="5" borderId="1" xfId="0" applyNumberFormat="1" applyFont="1" applyFill="1" applyBorder="1" applyAlignment="1">
      <alignment vertical="center" wrapText="1"/>
    </xf>
    <xf numFmtId="0" fontId="15" fillId="5" borderId="0" xfId="0" applyNumberFormat="1" applyFont="1" applyFill="1" applyAlignment="1">
      <alignment horizontal="left" vertical="center" wrapText="1"/>
    </xf>
    <xf numFmtId="0" fontId="15" fillId="5" borderId="0" xfId="0" applyNumberFormat="1" applyFont="1" applyFill="1" applyAlignment="1">
      <alignment vertical="center" wrapText="1"/>
    </xf>
    <xf numFmtId="0" fontId="15" fillId="5" borderId="12" xfId="0" applyFont="1" applyFill="1" applyBorder="1"/>
    <xf numFmtId="0" fontId="15" fillId="5" borderId="12" xfId="0" applyFont="1" applyFill="1" applyBorder="1" applyAlignment="1">
      <alignment horizontal="right"/>
    </xf>
    <xf numFmtId="0" fontId="15" fillId="5" borderId="0" xfId="0" applyFont="1" applyFill="1"/>
    <xf numFmtId="0" fontId="17" fillId="5" borderId="0" xfId="0" applyNumberFormat="1" applyFont="1" applyFill="1" applyAlignment="1">
      <alignment horizontal="left" vertical="center" wrapText="1"/>
    </xf>
    <xf numFmtId="2" fontId="15" fillId="5" borderId="1" xfId="8" applyNumberFormat="1" applyFont="1" applyFill="1" applyBorder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left" vertical="justify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/>
    <xf numFmtId="2" fontId="15" fillId="5" borderId="1" xfId="0" applyNumberFormat="1" applyFont="1" applyFill="1" applyBorder="1" applyAlignment="1">
      <alignment vertical="justify" wrapText="1"/>
    </xf>
    <xf numFmtId="0" fontId="15" fillId="5" borderId="0" xfId="2" applyNumberFormat="1" applyFont="1" applyFill="1" applyAlignment="1">
      <alignment horizontal="left" vertical="center"/>
    </xf>
    <xf numFmtId="166" fontId="15" fillId="5" borderId="1" xfId="22" applyNumberFormat="1" applyFont="1" applyFill="1" applyBorder="1" applyAlignment="1">
      <alignment horizontal="right" vertical="center" wrapText="1"/>
    </xf>
    <xf numFmtId="0" fontId="15" fillId="5" borderId="1" xfId="0" applyNumberFormat="1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right"/>
    </xf>
    <xf numFmtId="0" fontId="19" fillId="5" borderId="1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/>
    </xf>
    <xf numFmtId="0" fontId="17" fillId="5" borderId="0" xfId="0" applyNumberFormat="1" applyFont="1" applyFill="1" applyAlignment="1">
      <alignment horizontal="center" vertical="center" wrapText="1"/>
    </xf>
    <xf numFmtId="0" fontId="17" fillId="5" borderId="0" xfId="2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0" fillId="5" borderId="1" xfId="9" applyNumberFormat="1" applyFont="1" applyFill="1" applyBorder="1" applyAlignment="1">
      <alignment horizontal="left" vertical="center" wrapText="1"/>
    </xf>
    <xf numFmtId="0" fontId="16" fillId="5" borderId="0" xfId="2" applyFont="1" applyFill="1" applyBorder="1" applyAlignment="1">
      <alignment horizontal="right"/>
    </xf>
    <xf numFmtId="166" fontId="14" fillId="5" borderId="1" xfId="9" applyNumberFormat="1" applyFont="1" applyFill="1" applyBorder="1" applyAlignment="1">
      <alignment horizontal="right" vertical="center" wrapText="1"/>
    </xf>
    <xf numFmtId="164" fontId="14" fillId="5" borderId="1" xfId="9" applyNumberFormat="1" applyFont="1" applyFill="1" applyBorder="1" applyAlignment="1">
      <alignment horizontal="right" vertical="center" wrapText="1"/>
    </xf>
    <xf numFmtId="167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right" vertical="center" wrapText="1"/>
    </xf>
    <xf numFmtId="169" fontId="14" fillId="5" borderId="1" xfId="9" applyNumberFormat="1" applyFont="1" applyFill="1" applyBorder="1" applyAlignment="1">
      <alignment horizontal="right" vertical="center" wrapText="1"/>
    </xf>
    <xf numFmtId="172" fontId="14" fillId="5" borderId="1" xfId="9" applyNumberFormat="1" applyFont="1" applyFill="1" applyBorder="1" applyAlignment="1">
      <alignment horizontal="right" vertical="center" wrapText="1"/>
    </xf>
    <xf numFmtId="170" fontId="14" fillId="5" borderId="1" xfId="9" applyNumberFormat="1" applyFont="1" applyFill="1" applyBorder="1" applyAlignment="1">
      <alignment horizontal="right" vertical="center" wrapText="1"/>
    </xf>
    <xf numFmtId="171" fontId="14" fillId="5" borderId="1" xfId="9" applyNumberFormat="1" applyFont="1" applyFill="1" applyBorder="1" applyAlignment="1">
      <alignment horizontal="right" vertical="center" wrapText="1"/>
    </xf>
    <xf numFmtId="176" fontId="14" fillId="5" borderId="1" xfId="9" applyNumberFormat="1" applyFont="1" applyFill="1" applyBorder="1" applyAlignment="1">
      <alignment horizontal="right" vertical="center" wrapText="1"/>
    </xf>
    <xf numFmtId="175" fontId="14" fillId="5" borderId="1" xfId="1" applyNumberFormat="1" applyFont="1" applyFill="1" applyBorder="1" applyAlignment="1">
      <alignment horizontal="right" vertical="center" wrapText="1"/>
    </xf>
    <xf numFmtId="169" fontId="20" fillId="5" borderId="1" xfId="1" applyNumberFormat="1" applyFont="1" applyFill="1" applyBorder="1" applyAlignment="1">
      <alignment horizontal="right" vertical="center" wrapText="1"/>
    </xf>
    <xf numFmtId="177" fontId="14" fillId="5" borderId="1" xfId="9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78" fontId="14" fillId="5" borderId="1" xfId="9" applyNumberFormat="1" applyFont="1" applyFill="1" applyBorder="1" applyAlignment="1">
      <alignment horizontal="right" vertical="center" wrapText="1"/>
    </xf>
    <xf numFmtId="174" fontId="14" fillId="5" borderId="1" xfId="9" applyNumberFormat="1" applyFont="1" applyFill="1" applyBorder="1" applyAlignment="1">
      <alignment horizontal="right" vertical="center" wrapText="1"/>
    </xf>
    <xf numFmtId="173" fontId="14" fillId="5" borderId="1" xfId="9" applyNumberFormat="1" applyFont="1" applyFill="1" applyBorder="1" applyAlignment="1">
      <alignment horizontal="right" vertical="center" wrapText="1"/>
    </xf>
    <xf numFmtId="0" fontId="2" fillId="5" borderId="1" xfId="0" applyNumberFormat="1" applyFont="1" applyFill="1" applyBorder="1" applyAlignment="1">
      <alignment horizontal="right" vertical="center" wrapText="1"/>
    </xf>
    <xf numFmtId="168" fontId="14" fillId="5" borderId="1" xfId="9" applyNumberFormat="1" applyFont="1" applyFill="1" applyBorder="1" applyAlignment="1">
      <alignment horizontal="right" vertical="center" wrapText="1"/>
    </xf>
    <xf numFmtId="0" fontId="2" fillId="5" borderId="0" xfId="2" applyFont="1" applyFill="1" applyAlignment="1"/>
    <xf numFmtId="0" fontId="14" fillId="5" borderId="0" xfId="2" applyFont="1" applyFill="1" applyBorder="1" applyAlignment="1"/>
    <xf numFmtId="0" fontId="2" fillId="5" borderId="0" xfId="2" applyNumberFormat="1" applyFont="1" applyFill="1" applyAlignment="1">
      <alignment vertical="center" wrapText="1"/>
    </xf>
    <xf numFmtId="0" fontId="2" fillId="5" borderId="0" xfId="0" applyNumberFormat="1" applyFont="1" applyFill="1" applyBorder="1" applyAlignment="1">
      <alignment vertical="center" wrapText="1"/>
    </xf>
    <xf numFmtId="0" fontId="2" fillId="5" borderId="0" xfId="0" applyNumberFormat="1" applyFont="1" applyFill="1" applyAlignment="1">
      <alignment vertical="center" wrapText="1"/>
    </xf>
    <xf numFmtId="1" fontId="14" fillId="5" borderId="1" xfId="9" applyNumberFormat="1" applyFont="1" applyFill="1" applyBorder="1" applyAlignment="1">
      <alignment vertical="center" wrapText="1"/>
    </xf>
    <xf numFmtId="1" fontId="14" fillId="5" borderId="1" xfId="1" applyNumberFormat="1" applyFont="1" applyFill="1" applyBorder="1" applyAlignment="1">
      <alignment vertical="center" wrapText="1"/>
    </xf>
    <xf numFmtId="0" fontId="14" fillId="5" borderId="1" xfId="9" applyNumberFormat="1" applyFont="1" applyFill="1" applyBorder="1" applyAlignment="1">
      <alignment vertical="center" wrapText="1"/>
    </xf>
    <xf numFmtId="0" fontId="15" fillId="5" borderId="1" xfId="0" applyFont="1" applyFill="1" applyBorder="1" applyAlignment="1"/>
    <xf numFmtId="0" fontId="18" fillId="5" borderId="8" xfId="0" applyNumberFormat="1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vertical="center" wrapText="1"/>
    </xf>
    <xf numFmtId="1" fontId="14" fillId="5" borderId="4" xfId="0" applyNumberFormat="1" applyFont="1" applyFill="1" applyBorder="1" applyAlignment="1"/>
    <xf numFmtId="1" fontId="17" fillId="5" borderId="1" xfId="0" applyNumberFormat="1" applyFont="1" applyFill="1" applyBorder="1" applyAlignment="1"/>
    <xf numFmtId="0" fontId="18" fillId="5" borderId="1" xfId="0" applyFont="1" applyFill="1" applyBorder="1" applyAlignment="1"/>
    <xf numFmtId="0" fontId="17" fillId="5" borderId="0" xfId="0" applyNumberFormat="1" applyFont="1" applyFill="1" applyAlignment="1">
      <alignment vertical="center" wrapText="1"/>
    </xf>
    <xf numFmtId="1" fontId="15" fillId="5" borderId="4" xfId="0" applyNumberFormat="1" applyFont="1" applyFill="1" applyBorder="1" applyAlignment="1"/>
    <xf numFmtId="1" fontId="19" fillId="5" borderId="1" xfId="0" applyNumberFormat="1" applyFont="1" applyFill="1" applyBorder="1" applyAlignment="1"/>
    <xf numFmtId="0" fontId="18" fillId="5" borderId="0" xfId="0" applyFont="1" applyFill="1" applyBorder="1" applyAlignment="1"/>
    <xf numFmtId="0" fontId="19" fillId="5" borderId="0" xfId="0" applyFont="1" applyFill="1" applyBorder="1" applyAlignment="1"/>
    <xf numFmtId="0" fontId="2" fillId="5" borderId="0" xfId="0" applyFont="1" applyFill="1" applyBorder="1" applyAlignment="1"/>
    <xf numFmtId="0" fontId="18" fillId="5" borderId="3" xfId="0" applyNumberFormat="1" applyFont="1" applyFill="1" applyBorder="1" applyAlignment="1">
      <alignment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14" fillId="5" borderId="0" xfId="2" applyFont="1" applyFill="1" applyAlignment="1"/>
    <xf numFmtId="0" fontId="14" fillId="5" borderId="0" xfId="2" applyNumberFormat="1" applyFont="1" applyFill="1" applyAlignment="1">
      <alignment vertical="center"/>
    </xf>
    <xf numFmtId="0" fontId="2" fillId="5" borderId="0" xfId="2" applyNumberFormat="1" applyFont="1" applyFill="1" applyBorder="1" applyAlignment="1">
      <alignment vertical="center" wrapText="1"/>
    </xf>
    <xf numFmtId="0" fontId="2" fillId="5" borderId="0" xfId="0" applyNumberFormat="1" applyFont="1" applyFill="1" applyBorder="1" applyAlignment="1">
      <alignment vertical="center"/>
    </xf>
    <xf numFmtId="1" fontId="15" fillId="5" borderId="1" xfId="8" applyNumberFormat="1" applyFont="1" applyFill="1" applyBorder="1" applyAlignment="1">
      <alignment wrapText="1"/>
    </xf>
    <xf numFmtId="1" fontId="15" fillId="5" borderId="1" xfId="0" applyNumberFormat="1" applyFont="1" applyFill="1" applyBorder="1" applyAlignment="1">
      <alignment wrapText="1"/>
    </xf>
    <xf numFmtId="0" fontId="22" fillId="5" borderId="0" xfId="0" applyFont="1" applyFill="1" applyAlignment="1">
      <alignment horizontal="center"/>
    </xf>
    <xf numFmtId="0" fontId="15" fillId="0" borderId="1" xfId="0" applyFont="1" applyBorder="1" applyAlignment="1">
      <alignment vertical="justify"/>
    </xf>
    <xf numFmtId="0" fontId="25" fillId="0" borderId="0" xfId="0" applyFont="1" applyAlignment="1">
      <alignment vertical="center"/>
    </xf>
    <xf numFmtId="0" fontId="24" fillId="0" borderId="1" xfId="1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2" fontId="27" fillId="5" borderId="1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9" fillId="0" borderId="0" xfId="0" applyFont="1" applyFill="1" applyAlignment="1">
      <alignment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center" wrapText="1"/>
    </xf>
    <xf numFmtId="2" fontId="31" fillId="0" borderId="1" xfId="3" applyNumberFormat="1" applyFont="1" applyFill="1" applyBorder="1" applyAlignment="1">
      <alignment horizontal="center" vertical="center" wrapText="1"/>
    </xf>
    <xf numFmtId="1" fontId="28" fillId="0" borderId="1" xfId="3" applyNumberFormat="1" applyFont="1" applyFill="1" applyBorder="1" applyAlignment="1">
      <alignment horizontal="center" vertical="center" wrapText="1"/>
    </xf>
    <xf numFmtId="9" fontId="28" fillId="3" borderId="1" xfId="23" applyFont="1" applyFill="1" applyBorder="1" applyAlignment="1">
      <alignment horizontal="center" vertical="center" wrapText="1"/>
    </xf>
    <xf numFmtId="2" fontId="28" fillId="0" borderId="1" xfId="4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9" fontId="28" fillId="4" borderId="1" xfId="23" applyFont="1" applyFill="1" applyBorder="1" applyAlignment="1">
      <alignment horizontal="center" vertical="center"/>
    </xf>
    <xf numFmtId="9" fontId="28" fillId="3" borderId="1" xfId="23" applyFont="1" applyFill="1" applyBorder="1" applyAlignment="1">
      <alignment horizontal="center" vertical="center"/>
    </xf>
    <xf numFmtId="2" fontId="28" fillId="0" borderId="1" xfId="4" applyNumberFormat="1" applyFont="1" applyFill="1" applyBorder="1" applyAlignment="1">
      <alignment horizontal="center" vertical="center"/>
    </xf>
    <xf numFmtId="165" fontId="31" fillId="0" borderId="1" xfId="3" applyNumberFormat="1" applyFont="1" applyFill="1" applyBorder="1" applyAlignment="1">
      <alignment horizontal="center" vertical="center" wrapText="1"/>
    </xf>
    <xf numFmtId="165" fontId="28" fillId="0" borderId="1" xfId="3" applyNumberFormat="1" applyFont="1" applyFill="1" applyBorder="1" applyAlignment="1">
      <alignment horizontal="center" vertical="center" wrapText="1"/>
    </xf>
    <xf numFmtId="2" fontId="31" fillId="0" borderId="1" xfId="5" applyNumberFormat="1" applyFont="1" applyFill="1" applyBorder="1" applyAlignment="1">
      <alignment horizontal="center" vertical="center" wrapText="1"/>
    </xf>
    <xf numFmtId="2" fontId="31" fillId="0" borderId="1" xfId="1" applyNumberFormat="1" applyFont="1" applyFill="1" applyBorder="1" applyAlignment="1">
      <alignment horizontal="center" vertical="center" wrapText="1"/>
    </xf>
    <xf numFmtId="9" fontId="28" fillId="3" borderId="1" xfId="4" applyNumberFormat="1" applyFont="1" applyFill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 wrapText="1"/>
    </xf>
    <xf numFmtId="1" fontId="26" fillId="0" borderId="1" xfId="6" applyNumberFormat="1" applyFont="1" applyFill="1" applyBorder="1" applyAlignment="1">
      <alignment horizontal="center" vertical="center" wrapText="1"/>
    </xf>
    <xf numFmtId="0" fontId="24" fillId="0" borderId="5" xfId="1" applyNumberFormat="1" applyFont="1" applyBorder="1" applyAlignment="1">
      <alignment horizontal="center" vertical="center" wrapText="1"/>
    </xf>
    <xf numFmtId="0" fontId="24" fillId="0" borderId="1" xfId="2" applyNumberFormat="1" applyFont="1" applyFill="1" applyBorder="1" applyAlignment="1">
      <alignment horizontal="left" vertical="center"/>
    </xf>
    <xf numFmtId="0" fontId="26" fillId="0" borderId="1" xfId="2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4" fillId="0" borderId="1" xfId="1" applyNumberFormat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2" fillId="5" borderId="0" xfId="0" applyFont="1" applyFill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11" fillId="5" borderId="1" xfId="1" applyNumberFormat="1" applyFont="1" applyFill="1" applyBorder="1" applyAlignment="1">
      <alignment horizontal="left" vertical="center" wrapText="1"/>
    </xf>
    <xf numFmtId="0" fontId="11" fillId="5" borderId="2" xfId="1" applyNumberFormat="1" applyFont="1" applyFill="1" applyBorder="1" applyAlignment="1">
      <alignment horizontal="center" vertical="center" wrapText="1"/>
    </xf>
    <xf numFmtId="0" fontId="11" fillId="5" borderId="4" xfId="1" applyNumberFormat="1" applyFont="1" applyFill="1" applyBorder="1" applyAlignment="1">
      <alignment horizontal="center" vertical="center" wrapText="1"/>
    </xf>
    <xf numFmtId="2" fontId="11" fillId="5" borderId="1" xfId="1" applyNumberFormat="1" applyFont="1" applyFill="1" applyBorder="1" applyAlignment="1">
      <alignment horizontal="center" vertical="center" wrapText="1"/>
    </xf>
    <xf numFmtId="2" fontId="11" fillId="5" borderId="2" xfId="1" applyNumberFormat="1" applyFont="1" applyFill="1" applyBorder="1" applyAlignment="1">
      <alignment horizontal="center" vertical="center" wrapText="1"/>
    </xf>
    <xf numFmtId="2" fontId="11" fillId="5" borderId="4" xfId="1" applyNumberFormat="1" applyFont="1" applyFill="1" applyBorder="1" applyAlignment="1">
      <alignment horizontal="center" vertical="center" wrapText="1"/>
    </xf>
    <xf numFmtId="2" fontId="11" fillId="0" borderId="12" xfId="8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2" fontId="11" fillId="5" borderId="3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2" fontId="11" fillId="7" borderId="12" xfId="8" applyNumberFormat="1" applyFont="1" applyFill="1" applyBorder="1" applyAlignment="1">
      <alignment horizontal="center" wrapText="1"/>
    </xf>
    <xf numFmtId="0" fontId="9" fillId="7" borderId="8" xfId="0" applyFont="1" applyFill="1" applyBorder="1" applyAlignment="1">
      <alignment wrapText="1"/>
    </xf>
    <xf numFmtId="2" fontId="11" fillId="7" borderId="13" xfId="8" applyNumberFormat="1" applyFont="1" applyFill="1" applyBorder="1" applyAlignment="1">
      <alignment horizontal="center" wrapText="1"/>
    </xf>
    <xf numFmtId="0" fontId="21" fillId="8" borderId="8" xfId="1" applyNumberFormat="1" applyFont="1" applyFill="1" applyBorder="1" applyAlignment="1">
      <alignment horizontal="right" vertical="center"/>
    </xf>
    <xf numFmtId="0" fontId="9" fillId="8" borderId="8" xfId="0" applyFont="1" applyFill="1" applyBorder="1"/>
    <xf numFmtId="2" fontId="11" fillId="0" borderId="8" xfId="8" applyNumberFormat="1" applyFont="1" applyFill="1" applyBorder="1" applyAlignment="1">
      <alignment horizontal="center" wrapText="1"/>
    </xf>
    <xf numFmtId="0" fontId="21" fillId="2" borderId="8" xfId="1" applyNumberFormat="1" applyFont="1" applyFill="1" applyBorder="1" applyAlignment="1">
      <alignment horizontal="right" vertical="center"/>
    </xf>
    <xf numFmtId="0" fontId="9" fillId="2" borderId="8" xfId="0" applyFont="1" applyFill="1" applyBorder="1"/>
    <xf numFmtId="0" fontId="21" fillId="5" borderId="8" xfId="1" applyNumberFormat="1" applyFont="1" applyFill="1" applyBorder="1" applyAlignment="1">
      <alignment horizontal="right" vertical="center"/>
    </xf>
    <xf numFmtId="0" fontId="9" fillId="5" borderId="8" xfId="0" applyFont="1" applyFill="1" applyBorder="1"/>
    <xf numFmtId="0" fontId="19" fillId="5" borderId="12" xfId="0" applyNumberFormat="1" applyFont="1" applyFill="1" applyBorder="1" applyAlignment="1">
      <alignment horizontal="left" vertical="center" wrapText="1"/>
    </xf>
    <xf numFmtId="0" fontId="19" fillId="5" borderId="8" xfId="0" applyNumberFormat="1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justify"/>
    </xf>
    <xf numFmtId="0" fontId="19" fillId="5" borderId="8" xfId="0" applyFont="1" applyFill="1" applyBorder="1" applyAlignment="1">
      <alignment vertical="justify"/>
    </xf>
    <xf numFmtId="0" fontId="15" fillId="5" borderId="13" xfId="0" applyFont="1" applyFill="1" applyBorder="1" applyAlignment="1"/>
    <xf numFmtId="0" fontId="17" fillId="5" borderId="12" xfId="0" applyFont="1" applyFill="1" applyBorder="1" applyAlignment="1">
      <alignment vertical="justify"/>
    </xf>
    <xf numFmtId="0" fontId="17" fillId="5" borderId="8" xfId="0" applyFont="1" applyFill="1" applyBorder="1" applyAlignment="1">
      <alignment vertical="justify"/>
    </xf>
    <xf numFmtId="0" fontId="17" fillId="5" borderId="13" xfId="0" applyFont="1" applyFill="1" applyBorder="1" applyAlignment="1">
      <alignment vertical="justify"/>
    </xf>
    <xf numFmtId="0" fontId="12" fillId="5" borderId="13" xfId="0" applyFont="1" applyFill="1" applyBorder="1" applyAlignment="1"/>
    <xf numFmtId="0" fontId="19" fillId="5" borderId="12" xfId="0" applyNumberFormat="1" applyFont="1" applyFill="1" applyBorder="1" applyAlignment="1">
      <alignment horizontal="center" vertical="center" wrapText="1"/>
    </xf>
    <xf numFmtId="0" fontId="19" fillId="5" borderId="8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8" fillId="5" borderId="12" xfId="0" applyNumberFormat="1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center"/>
    </xf>
    <xf numFmtId="0" fontId="18" fillId="5" borderId="5" xfId="0" applyNumberFormat="1" applyFont="1" applyFill="1" applyBorder="1" applyAlignment="1">
      <alignment horizontal="center" vertical="center" wrapText="1"/>
    </xf>
    <xf numFmtId="0" fontId="18" fillId="5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7" fillId="5" borderId="0" xfId="2" applyNumberFormat="1" applyFont="1" applyFill="1" applyBorder="1" applyAlignment="1">
      <alignment horizontal="center" vertical="center" wrapText="1"/>
    </xf>
    <xf numFmtId="0" fontId="2" fillId="5" borderId="0" xfId="2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2" fillId="5" borderId="2" xfId="17" applyNumberFormat="1" applyFont="1" applyFill="1" applyBorder="1" applyAlignment="1">
      <alignment horizontal="right" vertical="center" wrapText="1"/>
    </xf>
    <xf numFmtId="0" fontId="2" fillId="5" borderId="4" xfId="17" applyNumberFormat="1" applyFont="1" applyFill="1" applyBorder="1" applyAlignment="1">
      <alignment horizontal="right" vertical="center" wrapText="1"/>
    </xf>
    <xf numFmtId="0" fontId="2" fillId="5" borderId="2" xfId="17" applyNumberFormat="1" applyFont="1" applyFill="1" applyBorder="1" applyAlignment="1">
      <alignment horizontal="center" vertical="center" wrapText="1"/>
    </xf>
    <xf numFmtId="0" fontId="2" fillId="5" borderId="4" xfId="17" applyNumberFormat="1" applyFont="1" applyFill="1" applyBorder="1" applyAlignment="1">
      <alignment horizontal="center" vertical="center" wrapText="1"/>
    </xf>
    <xf numFmtId="0" fontId="2" fillId="5" borderId="2" xfId="17" applyNumberFormat="1" applyFont="1" applyFill="1" applyBorder="1" applyAlignment="1">
      <alignment vertical="center" wrapText="1"/>
    </xf>
    <xf numFmtId="0" fontId="2" fillId="5" borderId="4" xfId="17" applyNumberFormat="1" applyFont="1" applyFill="1" applyBorder="1" applyAlignment="1">
      <alignment vertical="center" wrapText="1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7" fillId="5" borderId="2" xfId="17" applyNumberFormat="1" applyFont="1" applyFill="1" applyBorder="1" applyAlignment="1">
      <alignment vertical="center" wrapText="1"/>
    </xf>
    <xf numFmtId="0" fontId="17" fillId="5" borderId="4" xfId="17" applyNumberFormat="1" applyFont="1" applyFill="1" applyBorder="1" applyAlignment="1">
      <alignment vertical="center" wrapText="1"/>
    </xf>
    <xf numFmtId="0" fontId="24" fillId="0" borderId="1" xfId="1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0" fontId="31" fillId="0" borderId="1" xfId="1" applyNumberFormat="1" applyFont="1" applyBorder="1" applyAlignment="1">
      <alignment horizontal="left" vertical="center" wrapText="1"/>
    </xf>
    <xf numFmtId="0" fontId="30" fillId="0" borderId="1" xfId="1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/>
    </xf>
    <xf numFmtId="0" fontId="30" fillId="2" borderId="1" xfId="1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/>
    </xf>
    <xf numFmtId="0" fontId="30" fillId="0" borderId="8" xfId="1" applyNumberFormat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5" fillId="5" borderId="4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49" fontId="5" fillId="5" borderId="4" xfId="2" applyNumberFormat="1" applyFont="1" applyFill="1" applyBorder="1" applyAlignment="1">
      <alignment horizontal="center" vertical="center" wrapText="1"/>
    </xf>
    <xf numFmtId="0" fontId="5" fillId="5" borderId="10" xfId="2" applyNumberFormat="1" applyFont="1" applyFill="1" applyBorder="1" applyAlignment="1">
      <alignment horizontal="center" vertical="center" wrapText="1"/>
    </xf>
    <xf numFmtId="0" fontId="5" fillId="5" borderId="7" xfId="2" applyNumberFormat="1" applyFont="1" applyFill="1" applyBorder="1" applyAlignment="1">
      <alignment horizontal="center" vertical="center" wrapText="1"/>
    </xf>
    <xf numFmtId="0" fontId="5" fillId="5" borderId="11" xfId="2" applyNumberFormat="1" applyFont="1" applyFill="1" applyBorder="1" applyAlignment="1">
      <alignment horizontal="center" vertical="center" wrapText="1"/>
    </xf>
    <xf numFmtId="0" fontId="6" fillId="5" borderId="1" xfId="2" applyNumberFormat="1" applyFont="1" applyFill="1" applyBorder="1" applyAlignment="1">
      <alignment horizontal="center" vertical="center"/>
    </xf>
    <xf numFmtId="0" fontId="5" fillId="5" borderId="1" xfId="2" applyNumberFormat="1" applyFont="1" applyFill="1" applyBorder="1" applyAlignment="1">
      <alignment horizontal="center" vertical="center"/>
    </xf>
    <xf numFmtId="0" fontId="5" fillId="5" borderId="0" xfId="2" applyFont="1" applyFill="1" applyAlignment="1">
      <alignment horizontal="center" wrapText="1"/>
    </xf>
    <xf numFmtId="0" fontId="2" fillId="0" borderId="0" xfId="2" applyFont="1" applyAlignment="1">
      <alignment horizontal="center" vertical="center" wrapText="1"/>
    </xf>
  </cellXfs>
  <cellStyles count="24">
    <cellStyle name="Обычный" xfId="0" builtinId="0"/>
    <cellStyle name="Обычный 2" xfId="10"/>
    <cellStyle name="Обычный 2 2" xfId="11"/>
    <cellStyle name="Обычный 2 3" xfId="12"/>
    <cellStyle name="Обычный 2 4" xfId="8"/>
    <cellStyle name="Обычный 3" xfId="13"/>
    <cellStyle name="Обычный 3 2" xfId="14"/>
    <cellStyle name="Обычный 4" xfId="15"/>
    <cellStyle name="Обычный 5" xfId="16"/>
    <cellStyle name="Обычный 6" xfId="2"/>
    <cellStyle name="Обычный_1С хэх" xfId="17"/>
    <cellStyle name="Обычный_Лист1" xfId="1"/>
    <cellStyle name="Обычный_Лист10" xfId="6"/>
    <cellStyle name="Обычный_Лист2" xfId="7"/>
    <cellStyle name="Обычный_Лист3" xfId="9"/>
    <cellStyle name="Обычный_Лист6" xfId="5"/>
    <cellStyle name="Обычный_Меню ХЭХ СД 16.09" xfId="22"/>
    <cellStyle name="Обычный_хэх Могильный" xfId="3"/>
    <cellStyle name="Процентный" xfId="23" builtinId="5"/>
    <cellStyle name="Процентный 2" xfId="18"/>
    <cellStyle name="Процентный 2 2" xfId="19"/>
    <cellStyle name="Процентный 3" xfId="20"/>
    <cellStyle name="Процентный 4" xfId="4"/>
    <cellStyle name="Финансовый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210"/>
  <sheetViews>
    <sheetView topLeftCell="A13" zoomScale="75" zoomScaleNormal="75" workbookViewId="0">
      <selection activeCell="F12" sqref="F12"/>
    </sheetView>
    <sheetView workbookViewId="1">
      <selection sqref="A1:O1"/>
    </sheetView>
  </sheetViews>
  <sheetFormatPr defaultColWidth="9.140625" defaultRowHeight="17.100000000000001" customHeight="1" x14ac:dyDescent="0.3"/>
  <cols>
    <col min="1" max="1" width="8.7109375" style="18" customWidth="1"/>
    <col min="2" max="2" width="31.85546875" style="18" customWidth="1"/>
    <col min="3" max="3" width="8" style="18" customWidth="1"/>
    <col min="4" max="4" width="9.42578125" style="20" customWidth="1"/>
    <col min="5" max="5" width="8.5703125" style="20" customWidth="1"/>
    <col min="6" max="6" width="9.140625" style="20" customWidth="1"/>
    <col min="7" max="7" width="10.140625" style="20" customWidth="1"/>
    <col min="8" max="8" width="10.5703125" style="20" bestFit="1" customWidth="1"/>
    <col min="9" max="9" width="11" style="20" customWidth="1"/>
    <col min="10" max="10" width="10" style="20" customWidth="1"/>
    <col min="11" max="12" width="11" style="20" customWidth="1"/>
    <col min="13" max="13" width="10.42578125" style="20" customWidth="1"/>
    <col min="14" max="14" width="10.28515625" style="20" customWidth="1"/>
    <col min="15" max="15" width="11.140625" style="20" customWidth="1"/>
    <col min="16" max="16384" width="9.140625" style="18"/>
  </cols>
  <sheetData>
    <row r="1" spans="1:15" ht="17.100000000000001" customHeight="1" x14ac:dyDescent="0.3">
      <c r="A1" s="310" t="s">
        <v>366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17.100000000000001" customHeight="1" x14ac:dyDescent="0.3">
      <c r="A2" s="311" t="s">
        <v>367</v>
      </c>
      <c r="B2" s="311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7.100000000000001" customHeight="1" x14ac:dyDescent="0.3">
      <c r="A3" s="312" t="s">
        <v>80</v>
      </c>
      <c r="B3" s="312"/>
      <c r="C3" s="312"/>
      <c r="D3" s="312"/>
      <c r="E3" s="312"/>
      <c r="F3" s="312"/>
      <c r="G3" s="312"/>
      <c r="H3" s="91"/>
      <c r="I3" s="91"/>
      <c r="J3" s="91"/>
      <c r="K3" s="91"/>
      <c r="L3" s="91"/>
      <c r="M3" s="91"/>
      <c r="N3" s="91"/>
      <c r="O3" s="91"/>
    </row>
    <row r="4" spans="1:15" ht="17.100000000000001" customHeight="1" x14ac:dyDescent="0.3">
      <c r="A4" s="313" t="s">
        <v>0</v>
      </c>
      <c r="B4" s="313" t="s">
        <v>1</v>
      </c>
      <c r="C4" s="313" t="s">
        <v>2</v>
      </c>
      <c r="D4" s="315" t="s">
        <v>3</v>
      </c>
      <c r="E4" s="315"/>
      <c r="F4" s="315"/>
      <c r="G4" s="316" t="s">
        <v>4</v>
      </c>
      <c r="H4" s="315" t="s">
        <v>5</v>
      </c>
      <c r="I4" s="315"/>
      <c r="J4" s="315"/>
      <c r="K4" s="315"/>
      <c r="L4" s="320" t="s">
        <v>6</v>
      </c>
      <c r="M4" s="320"/>
      <c r="N4" s="320"/>
      <c r="O4" s="320"/>
    </row>
    <row r="5" spans="1:15" ht="17.100000000000001" customHeight="1" x14ac:dyDescent="0.3">
      <c r="A5" s="314"/>
      <c r="B5" s="314"/>
      <c r="C5" s="314"/>
      <c r="D5" s="92" t="s">
        <v>7</v>
      </c>
      <c r="E5" s="92" t="s">
        <v>8</v>
      </c>
      <c r="F5" s="92" t="s">
        <v>9</v>
      </c>
      <c r="G5" s="317"/>
      <c r="H5" s="92" t="s">
        <v>10</v>
      </c>
      <c r="I5" s="92" t="s">
        <v>11</v>
      </c>
      <c r="J5" s="92" t="s">
        <v>12</v>
      </c>
      <c r="K5" s="92" t="s">
        <v>13</v>
      </c>
      <c r="L5" s="92" t="s">
        <v>14</v>
      </c>
      <c r="M5" s="92" t="s">
        <v>15</v>
      </c>
      <c r="N5" s="92" t="s">
        <v>16</v>
      </c>
      <c r="O5" s="92" t="s">
        <v>17</v>
      </c>
    </row>
    <row r="6" spans="1:15" ht="17.100000000000001" customHeight="1" x14ac:dyDescent="0.3">
      <c r="A6" s="321" t="s">
        <v>18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</row>
    <row r="7" spans="1:15" ht="17.100000000000001" customHeight="1" x14ac:dyDescent="0.3">
      <c r="A7" s="93">
        <v>3</v>
      </c>
      <c r="B7" s="94" t="s">
        <v>81</v>
      </c>
      <c r="C7" s="95">
        <v>40</v>
      </c>
      <c r="D7" s="96">
        <v>6.23</v>
      </c>
      <c r="E7" s="96">
        <v>8.41</v>
      </c>
      <c r="F7" s="96">
        <v>19.75</v>
      </c>
      <c r="G7" s="96">
        <f>F7*4+E7*9+D7*4</f>
        <v>179.61</v>
      </c>
      <c r="H7" s="96">
        <v>5.3999999999999999E-2</v>
      </c>
      <c r="I7" s="96">
        <v>0.11</v>
      </c>
      <c r="J7" s="96">
        <v>0.62</v>
      </c>
      <c r="K7" s="96">
        <v>0.215</v>
      </c>
      <c r="L7" s="96">
        <v>137.19999999999999</v>
      </c>
      <c r="M7" s="96">
        <v>93</v>
      </c>
      <c r="N7" s="96">
        <v>10.9</v>
      </c>
      <c r="O7" s="96">
        <v>0.6</v>
      </c>
    </row>
    <row r="8" spans="1:15" ht="17.100000000000001" customHeight="1" x14ac:dyDescent="0.3">
      <c r="A8" s="97"/>
      <c r="B8" s="98" t="s">
        <v>82</v>
      </c>
      <c r="C8" s="99">
        <v>230</v>
      </c>
      <c r="D8" s="96">
        <v>6.8505000000000003</v>
      </c>
      <c r="E8" s="96">
        <v>6.5880000000000001</v>
      </c>
      <c r="F8" s="96">
        <v>29.329000000000001</v>
      </c>
      <c r="G8" s="96">
        <f t="shared" ref="G8:G11" si="0">F8*4+E8*9+D8*4</f>
        <v>204.01</v>
      </c>
      <c r="H8" s="96">
        <v>9.4500000000000001E-3</v>
      </c>
      <c r="I8" s="96">
        <v>0.189</v>
      </c>
      <c r="J8" s="96">
        <v>0.03</v>
      </c>
      <c r="K8" s="96">
        <v>1.1000000000000001</v>
      </c>
      <c r="L8" s="96">
        <v>121.63</v>
      </c>
      <c r="M8" s="96">
        <v>212.87950000000001</v>
      </c>
      <c r="N8" s="96">
        <v>5.0925000000000002</v>
      </c>
      <c r="O8" s="96">
        <v>7.350000000000001E-2</v>
      </c>
    </row>
    <row r="9" spans="1:15" ht="17.100000000000001" customHeight="1" x14ac:dyDescent="0.3">
      <c r="A9" s="93">
        <v>382</v>
      </c>
      <c r="B9" s="94" t="s">
        <v>83</v>
      </c>
      <c r="C9" s="95">
        <v>200</v>
      </c>
      <c r="D9" s="19">
        <v>4.07</v>
      </c>
      <c r="E9" s="19">
        <v>3.5</v>
      </c>
      <c r="F9" s="19">
        <v>17.5</v>
      </c>
      <c r="G9" s="96">
        <f t="shared" si="0"/>
        <v>117.78</v>
      </c>
      <c r="H9" s="19">
        <f>0.28*0.18</f>
        <v>5.04E-2</v>
      </c>
      <c r="I9" s="19">
        <v>1.57</v>
      </c>
      <c r="J9" s="19">
        <v>0.24</v>
      </c>
      <c r="K9" s="19">
        <v>0.2</v>
      </c>
      <c r="L9" s="19">
        <v>152.19999999999999</v>
      </c>
      <c r="M9" s="19">
        <v>124.5</v>
      </c>
      <c r="N9" s="19">
        <v>21.34</v>
      </c>
      <c r="O9" s="19">
        <v>0.47</v>
      </c>
    </row>
    <row r="10" spans="1:15" ht="17.100000000000001" customHeight="1" x14ac:dyDescent="0.3">
      <c r="A10" s="93"/>
      <c r="B10" s="94" t="s">
        <v>84</v>
      </c>
      <c r="C10" s="95">
        <v>20</v>
      </c>
      <c r="D10" s="96">
        <v>1.35</v>
      </c>
      <c r="E10" s="96">
        <v>0.17199999999999999</v>
      </c>
      <c r="F10" s="96">
        <v>10.029999999999999</v>
      </c>
      <c r="G10" s="96">
        <f t="shared" si="0"/>
        <v>47.067999999999998</v>
      </c>
      <c r="H10" s="96">
        <v>2.4E-2</v>
      </c>
      <c r="I10" s="96">
        <v>0</v>
      </c>
      <c r="J10" s="96">
        <v>0</v>
      </c>
      <c r="K10" s="96">
        <v>0.22</v>
      </c>
      <c r="L10" s="96">
        <v>4</v>
      </c>
      <c r="M10" s="96">
        <v>13</v>
      </c>
      <c r="N10" s="96">
        <v>2.8</v>
      </c>
      <c r="O10" s="96">
        <v>0.22</v>
      </c>
    </row>
    <row r="11" spans="1:15" ht="17.100000000000001" customHeight="1" x14ac:dyDescent="0.3">
      <c r="A11" s="93">
        <v>368</v>
      </c>
      <c r="B11" s="94" t="s">
        <v>85</v>
      </c>
      <c r="C11" s="95">
        <v>120</v>
      </c>
      <c r="D11" s="19">
        <v>0.5</v>
      </c>
      <c r="E11" s="19">
        <v>0.5</v>
      </c>
      <c r="F11" s="19">
        <v>12.8</v>
      </c>
      <c r="G11" s="96">
        <f t="shared" si="0"/>
        <v>57.7</v>
      </c>
      <c r="H11" s="19">
        <v>0.04</v>
      </c>
      <c r="I11" s="19">
        <v>5</v>
      </c>
      <c r="J11" s="19">
        <v>0</v>
      </c>
      <c r="K11" s="19">
        <v>0.33</v>
      </c>
      <c r="L11" s="19">
        <v>25</v>
      </c>
      <c r="M11" s="19">
        <v>18.3</v>
      </c>
      <c r="N11" s="19">
        <v>14.16</v>
      </c>
      <c r="O11" s="19">
        <v>0.5</v>
      </c>
    </row>
    <row r="12" spans="1:15" ht="17.100000000000001" customHeight="1" x14ac:dyDescent="0.3">
      <c r="A12" s="100"/>
      <c r="B12" s="101" t="s">
        <v>86</v>
      </c>
      <c r="C12" s="102">
        <f>SUM(C7:C11)</f>
        <v>610</v>
      </c>
      <c r="D12" s="103">
        <f t="shared" ref="D12:O12" si="1">SUM(D7:D11)</f>
        <v>19.000500000000002</v>
      </c>
      <c r="E12" s="103">
        <f t="shared" si="1"/>
        <v>19.170000000000002</v>
      </c>
      <c r="F12" s="103">
        <f t="shared" si="1"/>
        <v>89.409000000000006</v>
      </c>
      <c r="G12" s="103">
        <f t="shared" si="1"/>
        <v>606.16800000000001</v>
      </c>
      <c r="H12" s="103">
        <f t="shared" si="1"/>
        <v>0.17785000000000001</v>
      </c>
      <c r="I12" s="103">
        <f t="shared" si="1"/>
        <v>6.8689999999999998</v>
      </c>
      <c r="J12" s="103">
        <f t="shared" si="1"/>
        <v>0.89</v>
      </c>
      <c r="K12" s="103">
        <f t="shared" si="1"/>
        <v>2.0649999999999999</v>
      </c>
      <c r="L12" s="103">
        <f t="shared" si="1"/>
        <v>440.03</v>
      </c>
      <c r="M12" s="103">
        <f t="shared" si="1"/>
        <v>461.67950000000002</v>
      </c>
      <c r="N12" s="103">
        <f t="shared" si="1"/>
        <v>54.29249999999999</v>
      </c>
      <c r="O12" s="103">
        <f t="shared" si="1"/>
        <v>1.8634999999999999</v>
      </c>
    </row>
    <row r="13" spans="1:15" ht="17.100000000000001" customHeight="1" x14ac:dyDescent="0.3">
      <c r="A13" s="104"/>
      <c r="B13" s="105" t="s">
        <v>87</v>
      </c>
      <c r="C13" s="106"/>
      <c r="D13" s="107">
        <v>19.25</v>
      </c>
      <c r="E13" s="107">
        <v>19.75</v>
      </c>
      <c r="F13" s="107">
        <v>83.75</v>
      </c>
      <c r="G13" s="107">
        <v>587.5</v>
      </c>
      <c r="H13" s="107">
        <v>0.3</v>
      </c>
      <c r="I13" s="107">
        <v>15</v>
      </c>
      <c r="J13" s="107">
        <v>0.17499999999999999</v>
      </c>
      <c r="K13" s="107">
        <v>2.5</v>
      </c>
      <c r="L13" s="107">
        <v>275</v>
      </c>
      <c r="M13" s="107">
        <v>412.5</v>
      </c>
      <c r="N13" s="107">
        <v>62.5</v>
      </c>
      <c r="O13" s="107">
        <v>3</v>
      </c>
    </row>
    <row r="14" spans="1:15" ht="17.100000000000001" customHeight="1" x14ac:dyDescent="0.3">
      <c r="A14" s="318" t="s">
        <v>22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</row>
    <row r="15" spans="1:15" ht="17.100000000000001" customHeight="1" x14ac:dyDescent="0.3">
      <c r="A15" s="108">
        <v>88</v>
      </c>
      <c r="B15" s="109" t="s">
        <v>88</v>
      </c>
      <c r="C15" s="110">
        <v>250</v>
      </c>
      <c r="D15" s="111">
        <v>1.77</v>
      </c>
      <c r="E15" s="111">
        <v>4.95</v>
      </c>
      <c r="F15" s="111">
        <v>7.9</v>
      </c>
      <c r="G15" s="112">
        <f>D15*4+E15*9+F15*4</f>
        <v>83.23</v>
      </c>
      <c r="H15" s="111">
        <v>0.06</v>
      </c>
      <c r="I15" s="111">
        <v>15.78</v>
      </c>
      <c r="J15" s="111">
        <v>0</v>
      </c>
      <c r="K15" s="111">
        <v>0.5</v>
      </c>
      <c r="L15" s="111">
        <v>49.25</v>
      </c>
      <c r="M15" s="111">
        <v>49</v>
      </c>
      <c r="N15" s="111">
        <v>22.13</v>
      </c>
      <c r="O15" s="113">
        <v>0.83</v>
      </c>
    </row>
    <row r="16" spans="1:15" ht="17.100000000000001" customHeight="1" x14ac:dyDescent="0.3">
      <c r="A16" s="108">
        <v>260</v>
      </c>
      <c r="B16" s="109" t="s">
        <v>89</v>
      </c>
      <c r="C16" s="110">
        <v>80</v>
      </c>
      <c r="D16" s="112">
        <v>11.64</v>
      </c>
      <c r="E16" s="112">
        <v>13.43</v>
      </c>
      <c r="F16" s="112">
        <v>2.2999999999999998</v>
      </c>
      <c r="G16" s="112">
        <f>D16*4+E16*9+F16*4</f>
        <v>176.63</v>
      </c>
      <c r="H16" s="112">
        <v>2.4E-2</v>
      </c>
      <c r="I16" s="112">
        <v>0.73</v>
      </c>
      <c r="J16" s="112">
        <v>0</v>
      </c>
      <c r="K16" s="111">
        <v>0.3</v>
      </c>
      <c r="L16" s="112">
        <v>17.440000000000001</v>
      </c>
      <c r="M16" s="112">
        <v>123.32</v>
      </c>
      <c r="N16" s="112">
        <v>17.600000000000001</v>
      </c>
      <c r="O16" s="114">
        <v>2.44</v>
      </c>
    </row>
    <row r="17" spans="1:15" ht="17.100000000000001" customHeight="1" x14ac:dyDescent="0.3">
      <c r="A17" s="115"/>
      <c r="B17" s="109" t="s">
        <v>90</v>
      </c>
      <c r="C17" s="116">
        <v>155</v>
      </c>
      <c r="D17" s="19">
        <v>3.2</v>
      </c>
      <c r="E17" s="19">
        <v>5.2</v>
      </c>
      <c r="F17" s="19">
        <v>20.8</v>
      </c>
      <c r="G17" s="112">
        <f>D17*4+E17*9+F17*4</f>
        <v>142.80000000000001</v>
      </c>
      <c r="H17" s="19">
        <v>0.06</v>
      </c>
      <c r="I17" s="19">
        <v>0</v>
      </c>
      <c r="J17" s="19">
        <v>0</v>
      </c>
      <c r="K17" s="111">
        <f>0.68*0.46</f>
        <v>0.31280000000000002</v>
      </c>
      <c r="L17" s="19">
        <v>26.82</v>
      </c>
      <c r="M17" s="19">
        <v>111.2</v>
      </c>
      <c r="N17" s="19">
        <v>15.99</v>
      </c>
      <c r="O17" s="19">
        <v>0.57999999999999996</v>
      </c>
    </row>
    <row r="18" spans="1:15" ht="17.100000000000001" customHeight="1" x14ac:dyDescent="0.3">
      <c r="A18" s="108"/>
      <c r="B18" s="109" t="s">
        <v>91</v>
      </c>
      <c r="C18" s="110">
        <v>200</v>
      </c>
      <c r="D18" s="19">
        <v>2.08</v>
      </c>
      <c r="E18" s="19">
        <v>0.22</v>
      </c>
      <c r="F18" s="19">
        <v>20.8</v>
      </c>
      <c r="G18" s="112">
        <f>D18*4+E18*9+F18*4</f>
        <v>93.5</v>
      </c>
      <c r="H18" s="19">
        <v>0.05</v>
      </c>
      <c r="I18" s="19">
        <v>21</v>
      </c>
      <c r="J18" s="19">
        <v>0</v>
      </c>
      <c r="K18" s="19">
        <v>1.32</v>
      </c>
      <c r="L18" s="19">
        <v>63.6</v>
      </c>
      <c r="M18" s="19">
        <v>61.2</v>
      </c>
      <c r="N18" s="19">
        <v>16.600000000000001</v>
      </c>
      <c r="O18" s="19">
        <v>1.84</v>
      </c>
    </row>
    <row r="19" spans="1:15" ht="17.100000000000001" customHeight="1" x14ac:dyDescent="0.3">
      <c r="A19" s="108"/>
      <c r="B19" s="117" t="s">
        <v>92</v>
      </c>
      <c r="C19" s="118">
        <v>200</v>
      </c>
      <c r="D19" s="19">
        <v>1.35</v>
      </c>
      <c r="E19" s="19">
        <v>0</v>
      </c>
      <c r="F19" s="19">
        <v>26.15</v>
      </c>
      <c r="G19" s="19">
        <f>D19*4+E19*9+F19*4</f>
        <v>110</v>
      </c>
      <c r="H19" s="19">
        <v>2.7E-2</v>
      </c>
      <c r="I19" s="19">
        <v>5.8</v>
      </c>
      <c r="J19" s="19">
        <v>0</v>
      </c>
      <c r="K19" s="19">
        <v>0.28000000000000003</v>
      </c>
      <c r="L19" s="19">
        <v>19.5</v>
      </c>
      <c r="M19" s="19">
        <v>18.5</v>
      </c>
      <c r="N19" s="19">
        <v>11</v>
      </c>
      <c r="O19" s="19">
        <v>3.81</v>
      </c>
    </row>
    <row r="20" spans="1:15" ht="17.100000000000001" customHeight="1" x14ac:dyDescent="0.3">
      <c r="A20" s="108"/>
      <c r="B20" s="109" t="s">
        <v>93</v>
      </c>
      <c r="C20" s="110">
        <v>60</v>
      </c>
      <c r="D20" s="19">
        <f>2.7*60/40</f>
        <v>4.05</v>
      </c>
      <c r="E20" s="19">
        <f>0.34*60/40</f>
        <v>0.51</v>
      </c>
      <c r="F20" s="19">
        <f>20.06*60/40</f>
        <v>30.089999999999996</v>
      </c>
      <c r="G20" s="112">
        <f t="shared" ref="G20:G21" si="2">D20*4+E20*9+F20*4</f>
        <v>141.14999999999998</v>
      </c>
      <c r="H20" s="19">
        <f>0.11*0.6</f>
        <v>6.6000000000000003E-2</v>
      </c>
      <c r="I20" s="19">
        <v>0</v>
      </c>
      <c r="J20" s="19">
        <v>0</v>
      </c>
      <c r="K20" s="19">
        <f>1.1*0.6</f>
        <v>0.66</v>
      </c>
      <c r="L20" s="19">
        <f>20*0.6</f>
        <v>12</v>
      </c>
      <c r="M20" s="19">
        <f>65*0.6</f>
        <v>39</v>
      </c>
      <c r="N20" s="19">
        <f>14*0.6</f>
        <v>8.4</v>
      </c>
      <c r="O20" s="19">
        <f>1.1*0.6</f>
        <v>0.66</v>
      </c>
    </row>
    <row r="21" spans="1:15" ht="17.100000000000001" customHeight="1" x14ac:dyDescent="0.3">
      <c r="A21" s="108"/>
      <c r="B21" s="109" t="s">
        <v>94</v>
      </c>
      <c r="C21" s="110">
        <v>20</v>
      </c>
      <c r="D21" s="112">
        <v>1.33</v>
      </c>
      <c r="E21" s="112">
        <v>0.24</v>
      </c>
      <c r="F21" s="112">
        <v>8.3699999999999992</v>
      </c>
      <c r="G21" s="112">
        <f t="shared" si="2"/>
        <v>40.959999999999994</v>
      </c>
      <c r="H21" s="112">
        <v>0.11</v>
      </c>
      <c r="I21" s="112">
        <v>0.14000000000000001</v>
      </c>
      <c r="J21" s="112">
        <v>0</v>
      </c>
      <c r="K21" s="112">
        <v>0.11</v>
      </c>
      <c r="L21" s="112">
        <v>25.55</v>
      </c>
      <c r="M21" s="112">
        <v>43.75</v>
      </c>
      <c r="N21" s="112">
        <v>14</v>
      </c>
      <c r="O21" s="114">
        <v>0.98</v>
      </c>
    </row>
    <row r="22" spans="1:15" ht="17.100000000000001" customHeight="1" x14ac:dyDescent="0.3">
      <c r="A22" s="100"/>
      <c r="B22" s="101" t="s">
        <v>95</v>
      </c>
      <c r="C22" s="102">
        <f>SUM(C15:C21)</f>
        <v>965</v>
      </c>
      <c r="D22" s="103">
        <f>SUM(D15:D21)</f>
        <v>25.42</v>
      </c>
      <c r="E22" s="103">
        <f t="shared" ref="E22:O22" si="3">SUM(E15:E21)</f>
        <v>24.549999999999997</v>
      </c>
      <c r="F22" s="103">
        <f t="shared" si="3"/>
        <v>116.41</v>
      </c>
      <c r="G22" s="103">
        <f t="shared" si="3"/>
        <v>788.2700000000001</v>
      </c>
      <c r="H22" s="103">
        <f t="shared" si="3"/>
        <v>0.39700000000000002</v>
      </c>
      <c r="I22" s="103">
        <f t="shared" si="3"/>
        <v>43.449999999999996</v>
      </c>
      <c r="J22" s="103">
        <f t="shared" si="3"/>
        <v>0</v>
      </c>
      <c r="K22" s="103">
        <f t="shared" si="3"/>
        <v>3.4828000000000006</v>
      </c>
      <c r="L22" s="103">
        <f t="shared" si="3"/>
        <v>214.16</v>
      </c>
      <c r="M22" s="103">
        <f t="shared" si="3"/>
        <v>445.96999999999997</v>
      </c>
      <c r="N22" s="103">
        <f t="shared" si="3"/>
        <v>105.72000000000001</v>
      </c>
      <c r="O22" s="103">
        <f t="shared" si="3"/>
        <v>11.14</v>
      </c>
    </row>
    <row r="23" spans="1:15" ht="17.100000000000001" customHeight="1" x14ac:dyDescent="0.3">
      <c r="A23" s="322" t="s">
        <v>96</v>
      </c>
      <c r="B23" s="323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1:15" ht="17.100000000000001" customHeight="1" x14ac:dyDescent="0.3">
      <c r="A24" s="318" t="s">
        <v>97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</row>
    <row r="25" spans="1:15" ht="17.100000000000001" customHeight="1" x14ac:dyDescent="0.3">
      <c r="A25" s="121"/>
      <c r="B25" s="122" t="s">
        <v>98</v>
      </c>
      <c r="C25" s="123">
        <v>60</v>
      </c>
      <c r="D25" s="19">
        <v>0.79</v>
      </c>
      <c r="E25" s="19">
        <v>0.14399999999999999</v>
      </c>
      <c r="F25" s="19">
        <v>2.7360000000000002</v>
      </c>
      <c r="G25" s="19">
        <f>F25*4+E25*9+D25*4</f>
        <v>15.4</v>
      </c>
      <c r="H25" s="19">
        <v>4.8000000000000001E-2</v>
      </c>
      <c r="I25" s="19">
        <v>12.6</v>
      </c>
      <c r="J25" s="19">
        <v>0</v>
      </c>
      <c r="K25" s="19">
        <v>0.5</v>
      </c>
      <c r="L25" s="19">
        <v>10.08</v>
      </c>
      <c r="M25" s="19">
        <v>18.72</v>
      </c>
      <c r="N25" s="19">
        <v>14.4</v>
      </c>
      <c r="O25" s="19">
        <v>0.64800000000000002</v>
      </c>
    </row>
    <row r="26" spans="1:15" ht="17.100000000000001" customHeight="1" x14ac:dyDescent="0.3">
      <c r="A26" s="93">
        <v>259</v>
      </c>
      <c r="B26" s="94" t="s">
        <v>99</v>
      </c>
      <c r="C26" s="95">
        <v>175</v>
      </c>
      <c r="D26" s="107">
        <v>17.009708737864077</v>
      </c>
      <c r="E26" s="107">
        <v>15.679611650485436</v>
      </c>
      <c r="F26" s="107">
        <v>25.864077669902912</v>
      </c>
      <c r="G26" s="19">
        <f t="shared" ref="G26:G30" si="4">F26*4+E26*9+D26*4</f>
        <v>312.61165048543688</v>
      </c>
      <c r="H26" s="107">
        <v>0.13980582524271842</v>
      </c>
      <c r="I26" s="107">
        <v>8.0970873786407758</v>
      </c>
      <c r="J26" s="107">
        <v>0</v>
      </c>
      <c r="K26" s="107">
        <v>10.067961165048542</v>
      </c>
      <c r="L26" s="107">
        <v>36.504854368932037</v>
      </c>
      <c r="M26" s="107">
        <v>215.95145631067962</v>
      </c>
      <c r="N26" s="107">
        <v>50.902912621359221</v>
      </c>
      <c r="O26" s="107">
        <v>4.6213592233009706</v>
      </c>
    </row>
    <row r="27" spans="1:15" ht="17.100000000000001" customHeight="1" x14ac:dyDescent="0.3">
      <c r="A27" s="93" t="s">
        <v>100</v>
      </c>
      <c r="B27" s="94" t="s">
        <v>101</v>
      </c>
      <c r="C27" s="95">
        <v>200</v>
      </c>
      <c r="D27" s="96">
        <v>0.6</v>
      </c>
      <c r="E27" s="96">
        <v>0.4</v>
      </c>
      <c r="F27" s="96">
        <v>10.4</v>
      </c>
      <c r="G27" s="19">
        <f t="shared" si="4"/>
        <v>47.6</v>
      </c>
      <c r="H27" s="96">
        <v>0.02</v>
      </c>
      <c r="I27" s="96">
        <v>3.4</v>
      </c>
      <c r="J27" s="96">
        <v>0</v>
      </c>
      <c r="K27" s="96">
        <v>0.4</v>
      </c>
      <c r="L27" s="96">
        <v>21.2</v>
      </c>
      <c r="M27" s="96">
        <v>22.6</v>
      </c>
      <c r="N27" s="96">
        <v>14.6</v>
      </c>
      <c r="O27" s="96">
        <v>3.2</v>
      </c>
    </row>
    <row r="28" spans="1:15" ht="17.100000000000001" customHeight="1" x14ac:dyDescent="0.3">
      <c r="A28" s="93"/>
      <c r="B28" s="94" t="s">
        <v>84</v>
      </c>
      <c r="C28" s="95">
        <v>25</v>
      </c>
      <c r="D28" s="107">
        <v>1.6875</v>
      </c>
      <c r="E28" s="107">
        <v>0.21499999999999997</v>
      </c>
      <c r="F28" s="107">
        <v>12.5375</v>
      </c>
      <c r="G28" s="19">
        <f t="shared" si="4"/>
        <v>58.835000000000001</v>
      </c>
      <c r="H28" s="107">
        <v>0.03</v>
      </c>
      <c r="I28" s="107">
        <v>0</v>
      </c>
      <c r="J28" s="107">
        <v>0</v>
      </c>
      <c r="K28" s="107">
        <v>0.27500000000000002</v>
      </c>
      <c r="L28" s="107">
        <v>5</v>
      </c>
      <c r="M28" s="107">
        <v>16.25</v>
      </c>
      <c r="N28" s="107">
        <v>3.5</v>
      </c>
      <c r="O28" s="107">
        <v>0.27500000000000002</v>
      </c>
    </row>
    <row r="29" spans="1:15" ht="17.100000000000001" customHeight="1" x14ac:dyDescent="0.3">
      <c r="A29" s="93"/>
      <c r="B29" s="94" t="s">
        <v>94</v>
      </c>
      <c r="C29" s="95">
        <v>25</v>
      </c>
      <c r="D29" s="96">
        <v>1.6625000000000001</v>
      </c>
      <c r="E29" s="96">
        <v>0.3</v>
      </c>
      <c r="F29" s="96">
        <v>10.462499999999999</v>
      </c>
      <c r="G29" s="19">
        <f t="shared" si="4"/>
        <v>51.199999999999996</v>
      </c>
      <c r="H29" s="96">
        <v>0.13124999999999998</v>
      </c>
      <c r="I29" s="96">
        <v>0.17499999999999996</v>
      </c>
      <c r="J29" s="96">
        <v>0</v>
      </c>
      <c r="K29" s="96">
        <v>0.13124999999999998</v>
      </c>
      <c r="L29" s="96">
        <v>31.937499999999996</v>
      </c>
      <c r="M29" s="96">
        <v>54.6875</v>
      </c>
      <c r="N29" s="96">
        <v>17.5</v>
      </c>
      <c r="O29" s="96">
        <v>1.2249999999999999</v>
      </c>
    </row>
    <row r="30" spans="1:15" ht="17.100000000000001" customHeight="1" x14ac:dyDescent="0.3">
      <c r="A30" s="124"/>
      <c r="B30" s="94" t="s">
        <v>102</v>
      </c>
      <c r="C30" s="95">
        <v>200</v>
      </c>
      <c r="D30" s="19">
        <f>2.9*2</f>
        <v>5.8</v>
      </c>
      <c r="E30" s="19">
        <f>2.5*2</f>
        <v>5</v>
      </c>
      <c r="F30" s="19">
        <f>4*2</f>
        <v>8</v>
      </c>
      <c r="G30" s="19">
        <f t="shared" si="4"/>
        <v>100.2</v>
      </c>
      <c r="H30" s="19">
        <f>0.04*0.75</f>
        <v>0.03</v>
      </c>
      <c r="I30" s="19">
        <v>0.54</v>
      </c>
      <c r="J30" s="19">
        <v>0.36</v>
      </c>
      <c r="K30" s="19">
        <v>0.5</v>
      </c>
      <c r="L30" s="19">
        <v>223.2</v>
      </c>
      <c r="M30" s="19">
        <v>165.6</v>
      </c>
      <c r="N30" s="19">
        <v>25.2</v>
      </c>
      <c r="O30" s="19">
        <v>0.18</v>
      </c>
    </row>
    <row r="31" spans="1:15" ht="17.100000000000001" customHeight="1" x14ac:dyDescent="0.3">
      <c r="A31" s="100"/>
      <c r="B31" s="101" t="s">
        <v>86</v>
      </c>
      <c r="C31" s="102">
        <f>SUM(C25:C30)</f>
        <v>685</v>
      </c>
      <c r="D31" s="103">
        <f t="shared" ref="D31:O31" si="5">SUM(D25:D30)</f>
        <v>27.54970873786408</v>
      </c>
      <c r="E31" s="103">
        <f t="shared" si="5"/>
        <v>21.738611650485435</v>
      </c>
      <c r="F31" s="103">
        <f t="shared" si="5"/>
        <v>70.000077669902907</v>
      </c>
      <c r="G31" s="103">
        <f t="shared" si="5"/>
        <v>585.84665048543684</v>
      </c>
      <c r="H31" s="103">
        <f t="shared" si="5"/>
        <v>0.39905582524271843</v>
      </c>
      <c r="I31" s="103">
        <f t="shared" si="5"/>
        <v>24.812087378640772</v>
      </c>
      <c r="J31" s="103">
        <f t="shared" si="5"/>
        <v>0.36</v>
      </c>
      <c r="K31" s="103">
        <f t="shared" si="5"/>
        <v>11.874211165048543</v>
      </c>
      <c r="L31" s="103">
        <f t="shared" si="5"/>
        <v>327.92235436893202</v>
      </c>
      <c r="M31" s="103">
        <f t="shared" si="5"/>
        <v>493.8089563106796</v>
      </c>
      <c r="N31" s="103">
        <f t="shared" si="5"/>
        <v>126.10291262135922</v>
      </c>
      <c r="O31" s="103">
        <f t="shared" si="5"/>
        <v>10.149359223300969</v>
      </c>
    </row>
    <row r="32" spans="1:15" ht="17.100000000000001" customHeight="1" x14ac:dyDescent="0.3">
      <c r="A32" s="318" t="s">
        <v>22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</row>
    <row r="33" spans="1:15" ht="17.100000000000001" customHeight="1" x14ac:dyDescent="0.3">
      <c r="A33" s="125"/>
      <c r="B33" s="109" t="s">
        <v>103</v>
      </c>
      <c r="C33" s="110">
        <v>60</v>
      </c>
      <c r="D33" s="19">
        <v>0.42</v>
      </c>
      <c r="E33" s="19">
        <v>0.06</v>
      </c>
      <c r="F33" s="19">
        <v>1.1399999999999999</v>
      </c>
      <c r="G33" s="19">
        <f>D33*4+E33*9+F33*4</f>
        <v>6.7799999999999994</v>
      </c>
      <c r="H33" s="19">
        <v>2.4E-2</v>
      </c>
      <c r="I33" s="19">
        <v>2.94</v>
      </c>
      <c r="J33" s="19">
        <v>0</v>
      </c>
      <c r="K33" s="19">
        <v>0</v>
      </c>
      <c r="L33" s="19">
        <v>10.199999999999999</v>
      </c>
      <c r="M33" s="19">
        <v>18</v>
      </c>
      <c r="N33" s="19">
        <v>8.4</v>
      </c>
      <c r="O33" s="19">
        <v>0.3</v>
      </c>
    </row>
    <row r="34" spans="1:15" ht="17.100000000000001" customHeight="1" x14ac:dyDescent="0.3">
      <c r="A34" s="108">
        <v>98</v>
      </c>
      <c r="B34" s="109" t="s">
        <v>104</v>
      </c>
      <c r="C34" s="110">
        <v>250</v>
      </c>
      <c r="D34" s="112">
        <v>1.48</v>
      </c>
      <c r="E34" s="112">
        <v>4.92</v>
      </c>
      <c r="F34" s="112">
        <v>6.09</v>
      </c>
      <c r="G34" s="19">
        <f t="shared" ref="G34:G39" si="6">D34*4+E34*9+F34*4</f>
        <v>74.56</v>
      </c>
      <c r="H34" s="112">
        <v>0.04</v>
      </c>
      <c r="I34" s="112">
        <v>9.8800000000000008</v>
      </c>
      <c r="J34" s="112">
        <v>0</v>
      </c>
      <c r="K34" s="112">
        <v>0.6</v>
      </c>
      <c r="L34" s="112">
        <v>35.880000000000003</v>
      </c>
      <c r="M34" s="112">
        <v>33.630000000000003</v>
      </c>
      <c r="N34" s="112">
        <v>14.18</v>
      </c>
      <c r="O34" s="114">
        <v>0.57999999999999996</v>
      </c>
    </row>
    <row r="35" spans="1:15" ht="17.100000000000001" customHeight="1" x14ac:dyDescent="0.3">
      <c r="A35" s="108">
        <v>227</v>
      </c>
      <c r="B35" s="109" t="s">
        <v>105</v>
      </c>
      <c r="C35" s="110">
        <v>70</v>
      </c>
      <c r="D35" s="19">
        <v>12.27</v>
      </c>
      <c r="E35" s="19">
        <v>5.32</v>
      </c>
      <c r="F35" s="19">
        <v>0.56999999999999995</v>
      </c>
      <c r="G35" s="19">
        <f t="shared" si="6"/>
        <v>99.240000000000009</v>
      </c>
      <c r="H35" s="19">
        <v>0.04</v>
      </c>
      <c r="I35" s="19">
        <v>1.2</v>
      </c>
      <c r="J35" s="19">
        <v>0.31</v>
      </c>
      <c r="K35" s="19">
        <v>1.45</v>
      </c>
      <c r="L35" s="19">
        <v>27.6</v>
      </c>
      <c r="M35" s="19">
        <v>116.5</v>
      </c>
      <c r="N35" s="19">
        <v>13.44</v>
      </c>
      <c r="O35" s="19">
        <v>0.378</v>
      </c>
    </row>
    <row r="36" spans="1:15" ht="17.100000000000001" customHeight="1" x14ac:dyDescent="0.3">
      <c r="A36" s="108">
        <v>312</v>
      </c>
      <c r="B36" s="109" t="s">
        <v>106</v>
      </c>
      <c r="C36" s="110">
        <v>150</v>
      </c>
      <c r="D36" s="111">
        <v>3.07</v>
      </c>
      <c r="E36" s="111">
        <v>4.8</v>
      </c>
      <c r="F36" s="111">
        <v>20.440000000000001</v>
      </c>
      <c r="G36" s="19">
        <f t="shared" si="6"/>
        <v>137.24</v>
      </c>
      <c r="H36" s="111">
        <v>0.14000000000000001</v>
      </c>
      <c r="I36" s="111">
        <v>18.16</v>
      </c>
      <c r="J36" s="111">
        <v>0</v>
      </c>
      <c r="K36" s="111">
        <v>0.09</v>
      </c>
      <c r="L36" s="111">
        <v>36.97</v>
      </c>
      <c r="M36" s="111">
        <v>86.59</v>
      </c>
      <c r="N36" s="111">
        <v>27.75</v>
      </c>
      <c r="O36" s="113">
        <v>1.01</v>
      </c>
    </row>
    <row r="37" spans="1:15" ht="17.100000000000001" customHeight="1" x14ac:dyDescent="0.3">
      <c r="A37" s="108">
        <v>349</v>
      </c>
      <c r="B37" s="109" t="s">
        <v>107</v>
      </c>
      <c r="C37" s="110">
        <v>200</v>
      </c>
      <c r="D37" s="112">
        <v>0.66</v>
      </c>
      <c r="E37" s="112">
        <v>0.09</v>
      </c>
      <c r="F37" s="112">
        <v>32.01</v>
      </c>
      <c r="G37" s="19">
        <f t="shared" si="6"/>
        <v>131.48999999999998</v>
      </c>
      <c r="H37" s="112">
        <v>0.02</v>
      </c>
      <c r="I37" s="112">
        <v>0.73</v>
      </c>
      <c r="J37" s="112">
        <v>0</v>
      </c>
      <c r="K37" s="112">
        <v>0</v>
      </c>
      <c r="L37" s="112">
        <v>32.479999999999997</v>
      </c>
      <c r="M37" s="112">
        <v>23.44</v>
      </c>
      <c r="N37" s="112">
        <v>17.46</v>
      </c>
      <c r="O37" s="114">
        <v>0.69</v>
      </c>
    </row>
    <row r="38" spans="1:15" ht="17.100000000000001" customHeight="1" x14ac:dyDescent="0.3">
      <c r="A38" s="108"/>
      <c r="B38" s="109" t="s">
        <v>93</v>
      </c>
      <c r="C38" s="110">
        <v>40</v>
      </c>
      <c r="D38" s="19">
        <v>2.7</v>
      </c>
      <c r="E38" s="19">
        <v>0.34</v>
      </c>
      <c r="F38" s="19">
        <v>20.059999999999999</v>
      </c>
      <c r="G38" s="19">
        <f t="shared" si="6"/>
        <v>94.1</v>
      </c>
      <c r="H38" s="19">
        <v>0.04</v>
      </c>
      <c r="I38" s="19">
        <v>0</v>
      </c>
      <c r="J38" s="19">
        <v>0</v>
      </c>
      <c r="K38" s="19">
        <v>0.44</v>
      </c>
      <c r="L38" s="19">
        <v>8</v>
      </c>
      <c r="M38" s="19">
        <v>26</v>
      </c>
      <c r="N38" s="19">
        <v>5.6</v>
      </c>
      <c r="O38" s="19">
        <v>0.44</v>
      </c>
    </row>
    <row r="39" spans="1:15" ht="17.100000000000001" customHeight="1" x14ac:dyDescent="0.3">
      <c r="A39" s="108"/>
      <c r="B39" s="109" t="s">
        <v>94</v>
      </c>
      <c r="C39" s="110">
        <v>40</v>
      </c>
      <c r="D39" s="111">
        <v>2.66</v>
      </c>
      <c r="E39" s="111">
        <v>0.48</v>
      </c>
      <c r="F39" s="111">
        <v>16.739999999999998</v>
      </c>
      <c r="G39" s="19">
        <f t="shared" si="6"/>
        <v>81.919999999999987</v>
      </c>
      <c r="H39" s="111">
        <v>0.22</v>
      </c>
      <c r="I39" s="111">
        <v>0.28000000000000003</v>
      </c>
      <c r="J39" s="111">
        <v>0</v>
      </c>
      <c r="K39" s="111">
        <v>0.22</v>
      </c>
      <c r="L39" s="111">
        <v>51.1</v>
      </c>
      <c r="M39" s="111">
        <v>87.5</v>
      </c>
      <c r="N39" s="111">
        <v>28</v>
      </c>
      <c r="O39" s="113">
        <v>1.96</v>
      </c>
    </row>
    <row r="40" spans="1:15" ht="17.100000000000001" customHeight="1" x14ac:dyDescent="0.3">
      <c r="A40" s="108"/>
      <c r="B40" s="109" t="s">
        <v>108</v>
      </c>
      <c r="C40" s="126">
        <v>200</v>
      </c>
      <c r="D40" s="107">
        <v>5.8</v>
      </c>
      <c r="E40" s="107">
        <v>5</v>
      </c>
      <c r="F40" s="107">
        <v>9.6</v>
      </c>
      <c r="G40" s="107">
        <v>107</v>
      </c>
      <c r="H40" s="107">
        <v>0.08</v>
      </c>
      <c r="I40" s="107">
        <v>2.6</v>
      </c>
      <c r="J40" s="107">
        <v>0.4</v>
      </c>
      <c r="K40" s="107">
        <v>0.5</v>
      </c>
      <c r="L40" s="107">
        <v>240</v>
      </c>
      <c r="M40" s="107">
        <v>180</v>
      </c>
      <c r="N40" s="107">
        <v>28</v>
      </c>
      <c r="O40" s="127">
        <v>0.2</v>
      </c>
    </row>
    <row r="41" spans="1:15" ht="17.100000000000001" customHeight="1" x14ac:dyDescent="0.3">
      <c r="A41" s="128"/>
      <c r="B41" s="129" t="s">
        <v>95</v>
      </c>
      <c r="C41" s="130">
        <f>SUM(C33:C40)</f>
        <v>1010</v>
      </c>
      <c r="D41" s="131">
        <f t="shared" ref="D41:O41" si="7">SUM(D33:D40)</f>
        <v>29.06</v>
      </c>
      <c r="E41" s="131">
        <f t="shared" si="7"/>
        <v>21.01</v>
      </c>
      <c r="F41" s="131">
        <f t="shared" si="7"/>
        <v>106.64999999999999</v>
      </c>
      <c r="G41" s="131">
        <f t="shared" si="7"/>
        <v>732.33</v>
      </c>
      <c r="H41" s="131">
        <f t="shared" si="7"/>
        <v>0.60399999999999998</v>
      </c>
      <c r="I41" s="131">
        <f t="shared" si="7"/>
        <v>35.79</v>
      </c>
      <c r="J41" s="131">
        <f t="shared" si="7"/>
        <v>0.71</v>
      </c>
      <c r="K41" s="131">
        <f t="shared" si="7"/>
        <v>3.3</v>
      </c>
      <c r="L41" s="131">
        <f t="shared" si="7"/>
        <v>442.23</v>
      </c>
      <c r="M41" s="131">
        <f t="shared" si="7"/>
        <v>571.66000000000008</v>
      </c>
      <c r="N41" s="131">
        <f t="shared" si="7"/>
        <v>142.82999999999998</v>
      </c>
      <c r="O41" s="131">
        <f t="shared" si="7"/>
        <v>5.5579999999999998</v>
      </c>
    </row>
    <row r="42" spans="1:15" ht="17.100000000000001" customHeight="1" x14ac:dyDescent="0.3">
      <c r="A42" s="322" t="s">
        <v>109</v>
      </c>
      <c r="B42" s="324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17.100000000000001" customHeight="1" x14ac:dyDescent="0.3">
      <c r="A43" s="318" t="s">
        <v>97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</row>
    <row r="44" spans="1:15" ht="17.100000000000001" customHeight="1" x14ac:dyDescent="0.3">
      <c r="A44" s="93"/>
      <c r="B44" s="94" t="s">
        <v>110</v>
      </c>
      <c r="C44" s="95">
        <v>80</v>
      </c>
      <c r="D44" s="107">
        <v>1.0507000000000002</v>
      </c>
      <c r="E44" s="107">
        <v>0.19152</v>
      </c>
      <c r="F44" s="107">
        <v>3.6388800000000003</v>
      </c>
      <c r="G44" s="107">
        <f>F44*4+E44*9+D44*4</f>
        <v>20.482000000000003</v>
      </c>
      <c r="H44" s="107">
        <v>6.3840000000000008E-2</v>
      </c>
      <c r="I44" s="107">
        <v>16.757999999999999</v>
      </c>
      <c r="J44" s="107">
        <v>0</v>
      </c>
      <c r="K44" s="117">
        <v>0.66500000000000004</v>
      </c>
      <c r="L44" s="117">
        <v>13.406400000000001</v>
      </c>
      <c r="M44" s="117">
        <v>24.897600000000001</v>
      </c>
      <c r="N44" s="117">
        <v>19.152000000000001</v>
      </c>
      <c r="O44" s="117">
        <v>0.86184000000000005</v>
      </c>
    </row>
    <row r="45" spans="1:15" ht="17.100000000000001" customHeight="1" x14ac:dyDescent="0.3">
      <c r="A45" s="93">
        <v>296</v>
      </c>
      <c r="B45" s="94" t="s">
        <v>111</v>
      </c>
      <c r="C45" s="95">
        <v>75</v>
      </c>
      <c r="D45" s="19">
        <v>9.5</v>
      </c>
      <c r="E45" s="19">
        <v>12.64</v>
      </c>
      <c r="F45" s="19">
        <v>9.73</v>
      </c>
      <c r="G45" s="107">
        <f t="shared" ref="G45:G50" si="8">F45*4+E45*9+D45*4</f>
        <v>190.68</v>
      </c>
      <c r="H45" s="19">
        <v>7.0000000000000007E-2</v>
      </c>
      <c r="I45" s="19">
        <v>0.51</v>
      </c>
      <c r="J45" s="19">
        <v>0.81</v>
      </c>
      <c r="K45" s="19">
        <v>2.2999999999999998</v>
      </c>
      <c r="L45" s="19">
        <v>78.2</v>
      </c>
      <c r="M45" s="19">
        <v>78.52</v>
      </c>
      <c r="N45" s="19">
        <v>16.16</v>
      </c>
      <c r="O45" s="19">
        <v>28.97</v>
      </c>
    </row>
    <row r="46" spans="1:15" ht="17.100000000000001" customHeight="1" x14ac:dyDescent="0.3">
      <c r="A46" s="132">
        <v>302</v>
      </c>
      <c r="B46" s="94" t="s">
        <v>112</v>
      </c>
      <c r="C46" s="95">
        <v>135</v>
      </c>
      <c r="D46" s="96">
        <v>6.97</v>
      </c>
      <c r="E46" s="96">
        <v>3.5994999999999995</v>
      </c>
      <c r="F46" s="96">
        <v>33.484999999999999</v>
      </c>
      <c r="G46" s="107">
        <f t="shared" si="8"/>
        <v>194.21549999999999</v>
      </c>
      <c r="H46" s="96">
        <v>0.20699999999999999</v>
      </c>
      <c r="I46" s="96">
        <v>0</v>
      </c>
      <c r="J46" s="96">
        <v>0.4</v>
      </c>
      <c r="K46" s="96">
        <v>0.50600000000000001</v>
      </c>
      <c r="L46" s="96">
        <v>27.0825</v>
      </c>
      <c r="M46" s="96">
        <v>213.43999999999997</v>
      </c>
      <c r="N46" s="96">
        <v>142.48499999999999</v>
      </c>
      <c r="O46" s="96">
        <v>4.83</v>
      </c>
    </row>
    <row r="47" spans="1:15" ht="17.100000000000001" customHeight="1" x14ac:dyDescent="0.3">
      <c r="A47" s="93" t="s">
        <v>113</v>
      </c>
      <c r="B47" s="94" t="s">
        <v>114</v>
      </c>
      <c r="C47" s="95">
        <v>200</v>
      </c>
      <c r="D47" s="96">
        <v>2.9</v>
      </c>
      <c r="E47" s="96">
        <v>2.5</v>
      </c>
      <c r="F47" s="96">
        <v>14.7</v>
      </c>
      <c r="G47" s="107">
        <f t="shared" si="8"/>
        <v>92.899999999999991</v>
      </c>
      <c r="H47" s="96">
        <v>0.02</v>
      </c>
      <c r="I47" s="96">
        <v>0.6</v>
      </c>
      <c r="J47" s="96">
        <v>0.1</v>
      </c>
      <c r="K47" s="96">
        <v>0.1</v>
      </c>
      <c r="L47" s="96">
        <v>120.3</v>
      </c>
      <c r="M47" s="96">
        <v>90</v>
      </c>
      <c r="N47" s="96">
        <v>14</v>
      </c>
      <c r="O47" s="96">
        <v>0.13</v>
      </c>
    </row>
    <row r="48" spans="1:15" ht="17.100000000000001" customHeight="1" x14ac:dyDescent="0.3">
      <c r="A48" s="93"/>
      <c r="B48" s="94" t="s">
        <v>84</v>
      </c>
      <c r="C48" s="95">
        <v>25</v>
      </c>
      <c r="D48" s="107">
        <v>1.6875</v>
      </c>
      <c r="E48" s="107">
        <v>0.21499999999999997</v>
      </c>
      <c r="F48" s="107">
        <v>12.5375</v>
      </c>
      <c r="G48" s="107">
        <f t="shared" si="8"/>
        <v>58.835000000000001</v>
      </c>
      <c r="H48" s="107">
        <v>0.03</v>
      </c>
      <c r="I48" s="107">
        <v>0</v>
      </c>
      <c r="J48" s="107">
        <v>0</v>
      </c>
      <c r="K48" s="107">
        <v>0.27500000000000002</v>
      </c>
      <c r="L48" s="107">
        <v>5</v>
      </c>
      <c r="M48" s="107">
        <v>16.25</v>
      </c>
      <c r="N48" s="107">
        <v>3.5</v>
      </c>
      <c r="O48" s="107">
        <v>0.27500000000000002</v>
      </c>
    </row>
    <row r="49" spans="1:15" ht="17.100000000000001" customHeight="1" x14ac:dyDescent="0.3">
      <c r="A49" s="93"/>
      <c r="B49" s="94" t="s">
        <v>94</v>
      </c>
      <c r="C49" s="95">
        <v>25</v>
      </c>
      <c r="D49" s="96">
        <v>1.6625000000000001</v>
      </c>
      <c r="E49" s="96">
        <v>0.3</v>
      </c>
      <c r="F49" s="96">
        <v>10.462499999999999</v>
      </c>
      <c r="G49" s="107">
        <f t="shared" si="8"/>
        <v>51.199999999999996</v>
      </c>
      <c r="H49" s="96">
        <v>0.13124999999999998</v>
      </c>
      <c r="I49" s="96">
        <v>0.17499999999999996</v>
      </c>
      <c r="J49" s="96">
        <v>0</v>
      </c>
      <c r="K49" s="96">
        <v>0.13124999999999998</v>
      </c>
      <c r="L49" s="96">
        <v>31.937499999999996</v>
      </c>
      <c r="M49" s="96">
        <v>54.6875</v>
      </c>
      <c r="N49" s="96">
        <v>17.5</v>
      </c>
      <c r="O49" s="96">
        <v>1.2249999999999999</v>
      </c>
    </row>
    <row r="50" spans="1:15" ht="17.100000000000001" customHeight="1" x14ac:dyDescent="0.3">
      <c r="A50" s="93"/>
      <c r="B50" s="94" t="s">
        <v>115</v>
      </c>
      <c r="C50" s="95">
        <v>150</v>
      </c>
      <c r="D50" s="96">
        <v>0.75301204819277112</v>
      </c>
      <c r="E50" s="96">
        <v>0</v>
      </c>
      <c r="F50" s="96">
        <v>15.210843373493976</v>
      </c>
      <c r="G50" s="107">
        <f t="shared" si="8"/>
        <v>63.855421686746986</v>
      </c>
      <c r="H50" s="96">
        <v>1.5060240963855423E-2</v>
      </c>
      <c r="I50" s="96">
        <v>3.0120481927710845</v>
      </c>
      <c r="J50" s="96">
        <v>0</v>
      </c>
      <c r="K50" s="96">
        <v>0.15060240963855423</v>
      </c>
      <c r="L50" s="96">
        <v>10.542168674698795</v>
      </c>
      <c r="M50" s="96">
        <v>10.542168674698795</v>
      </c>
      <c r="N50" s="96">
        <v>6.024096385542169</v>
      </c>
      <c r="O50" s="96">
        <v>2.1084337349397591</v>
      </c>
    </row>
    <row r="51" spans="1:15" ht="17.100000000000001" customHeight="1" x14ac:dyDescent="0.3">
      <c r="A51" s="100"/>
      <c r="B51" s="101" t="s">
        <v>86</v>
      </c>
      <c r="C51" s="102">
        <f>SUM(C44:C50)</f>
        <v>690</v>
      </c>
      <c r="D51" s="103">
        <f t="shared" ref="D51:O51" si="9">SUM(D44:D50)</f>
        <v>24.523712048192774</v>
      </c>
      <c r="E51" s="103">
        <f t="shared" si="9"/>
        <v>19.446020000000001</v>
      </c>
      <c r="F51" s="103">
        <f t="shared" si="9"/>
        <v>99.764723373493965</v>
      </c>
      <c r="G51" s="103">
        <f t="shared" si="9"/>
        <v>672.16792168674704</v>
      </c>
      <c r="H51" s="103">
        <f t="shared" si="9"/>
        <v>0.53715024096385544</v>
      </c>
      <c r="I51" s="103">
        <f t="shared" si="9"/>
        <v>21.055048192771089</v>
      </c>
      <c r="J51" s="103">
        <f t="shared" si="9"/>
        <v>1.31</v>
      </c>
      <c r="K51" s="103">
        <f t="shared" si="9"/>
        <v>4.127852409638554</v>
      </c>
      <c r="L51" s="103">
        <f t="shared" si="9"/>
        <v>286.46856867469882</v>
      </c>
      <c r="M51" s="103">
        <f t="shared" si="9"/>
        <v>488.33726867469875</v>
      </c>
      <c r="N51" s="103">
        <f t="shared" si="9"/>
        <v>218.82109638554215</v>
      </c>
      <c r="O51" s="103">
        <f t="shared" si="9"/>
        <v>38.400273734939759</v>
      </c>
    </row>
    <row r="52" spans="1:15" ht="17.100000000000001" customHeight="1" x14ac:dyDescent="0.3">
      <c r="A52" s="318" t="s">
        <v>22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</row>
    <row r="53" spans="1:15" ht="17.100000000000001" customHeight="1" x14ac:dyDescent="0.3">
      <c r="A53" s="133">
        <v>104</v>
      </c>
      <c r="B53" s="134" t="s">
        <v>116</v>
      </c>
      <c r="C53" s="135">
        <v>270</v>
      </c>
      <c r="D53" s="111">
        <f>2.19+3.99</f>
        <v>6.18</v>
      </c>
      <c r="E53" s="111">
        <f>2.78+2.74</f>
        <v>5.52</v>
      </c>
      <c r="F53" s="111">
        <f>15.39+0.15</f>
        <v>15.540000000000001</v>
      </c>
      <c r="G53" s="111">
        <f>D53*4+E53*9+F53*4</f>
        <v>136.56</v>
      </c>
      <c r="H53" s="111">
        <v>0.12</v>
      </c>
      <c r="I53" s="111">
        <v>11.07</v>
      </c>
      <c r="J53" s="111">
        <v>0</v>
      </c>
      <c r="K53" s="111">
        <v>0.5</v>
      </c>
      <c r="L53" s="111">
        <v>29.7</v>
      </c>
      <c r="M53" s="111">
        <v>72.22</v>
      </c>
      <c r="N53" s="111">
        <v>29.6</v>
      </c>
      <c r="O53" s="113">
        <v>1.1499999999999999</v>
      </c>
    </row>
    <row r="54" spans="1:15" ht="17.100000000000001" customHeight="1" x14ac:dyDescent="0.3">
      <c r="A54" s="136">
        <v>223</v>
      </c>
      <c r="B54" s="105" t="s">
        <v>117</v>
      </c>
      <c r="C54" s="106">
        <v>185</v>
      </c>
      <c r="D54" s="137">
        <v>20.87</v>
      </c>
      <c r="E54" s="137">
        <v>14.36</v>
      </c>
      <c r="F54" s="137">
        <v>32.35</v>
      </c>
      <c r="G54" s="111">
        <f t="shared" ref="G54:G59" si="10">D54*4+E54*9+F54*4</f>
        <v>342.12</v>
      </c>
      <c r="H54" s="137">
        <v>7.0000000000000007E-2</v>
      </c>
      <c r="I54" s="137">
        <v>0.94</v>
      </c>
      <c r="J54" s="137">
        <v>0.88</v>
      </c>
      <c r="K54" s="112">
        <v>0.4</v>
      </c>
      <c r="L54" s="137">
        <v>184.9</v>
      </c>
      <c r="M54" s="137">
        <v>256.20999999999998</v>
      </c>
      <c r="N54" s="137">
        <v>29.3</v>
      </c>
      <c r="O54" s="137">
        <v>1.34</v>
      </c>
    </row>
    <row r="55" spans="1:15" ht="17.100000000000001" customHeight="1" x14ac:dyDescent="0.3">
      <c r="A55" s="136"/>
      <c r="B55" s="109" t="s">
        <v>118</v>
      </c>
      <c r="C55" s="110">
        <v>35</v>
      </c>
      <c r="D55" s="111">
        <v>0.49</v>
      </c>
      <c r="E55" s="111">
        <v>1.75</v>
      </c>
      <c r="F55" s="111">
        <f>2.05+9.98</f>
        <v>12.030000000000001</v>
      </c>
      <c r="G55" s="19">
        <f t="shared" si="10"/>
        <v>65.830000000000013</v>
      </c>
      <c r="H55" s="111">
        <v>0.01</v>
      </c>
      <c r="I55" s="111">
        <v>0.01</v>
      </c>
      <c r="J55" s="111">
        <v>0.01</v>
      </c>
      <c r="K55" s="112">
        <v>0</v>
      </c>
      <c r="L55" s="111">
        <f>9.55+0.3</f>
        <v>9.8500000000000014</v>
      </c>
      <c r="M55" s="111">
        <v>7.95</v>
      </c>
      <c r="N55" s="111">
        <v>1.84</v>
      </c>
      <c r="O55" s="113">
        <f>0.07+0.03</f>
        <v>0.1</v>
      </c>
    </row>
    <row r="56" spans="1:15" ht="17.100000000000001" customHeight="1" x14ac:dyDescent="0.3">
      <c r="A56" s="136"/>
      <c r="B56" s="138" t="s">
        <v>119</v>
      </c>
      <c r="C56" s="116">
        <v>200</v>
      </c>
      <c r="D56" s="137">
        <v>0.52</v>
      </c>
      <c r="E56" s="137">
        <v>0.18</v>
      </c>
      <c r="F56" s="137">
        <v>28.86</v>
      </c>
      <c r="G56" s="111">
        <f t="shared" si="10"/>
        <v>119.14</v>
      </c>
      <c r="H56" s="137">
        <v>1.4E-2</v>
      </c>
      <c r="I56" s="137">
        <v>27.6</v>
      </c>
      <c r="J56" s="137">
        <v>0</v>
      </c>
      <c r="K56" s="137">
        <v>0</v>
      </c>
      <c r="L56" s="137">
        <v>23.7</v>
      </c>
      <c r="M56" s="137">
        <v>18.399999999999999</v>
      </c>
      <c r="N56" s="137">
        <v>13.4</v>
      </c>
      <c r="O56" s="137">
        <v>0.71199999999999997</v>
      </c>
    </row>
    <row r="57" spans="1:15" ht="17.100000000000001" customHeight="1" x14ac:dyDescent="0.3">
      <c r="A57" s="136"/>
      <c r="B57" s="109" t="s">
        <v>93</v>
      </c>
      <c r="C57" s="106">
        <v>40</v>
      </c>
      <c r="D57" s="139">
        <v>2.7</v>
      </c>
      <c r="E57" s="139">
        <v>0.34</v>
      </c>
      <c r="F57" s="139">
        <v>20.059999999999999</v>
      </c>
      <c r="G57" s="111">
        <f t="shared" si="10"/>
        <v>94.1</v>
      </c>
      <c r="H57" s="139">
        <v>0.04</v>
      </c>
      <c r="I57" s="139">
        <v>0</v>
      </c>
      <c r="J57" s="139">
        <v>0</v>
      </c>
      <c r="K57" s="139">
        <v>0.44</v>
      </c>
      <c r="L57" s="139">
        <v>8</v>
      </c>
      <c r="M57" s="139">
        <v>26</v>
      </c>
      <c r="N57" s="139">
        <v>5.6</v>
      </c>
      <c r="O57" s="139">
        <v>0.44</v>
      </c>
    </row>
    <row r="58" spans="1:15" ht="17.100000000000001" customHeight="1" x14ac:dyDescent="0.3">
      <c r="A58" s="108"/>
      <c r="B58" s="109" t="s">
        <v>94</v>
      </c>
      <c r="C58" s="110">
        <v>40</v>
      </c>
      <c r="D58" s="111">
        <v>2.66</v>
      </c>
      <c r="E58" s="111">
        <v>0.48</v>
      </c>
      <c r="F58" s="111">
        <v>16.739999999999998</v>
      </c>
      <c r="G58" s="111">
        <f t="shared" si="10"/>
        <v>81.919999999999987</v>
      </c>
      <c r="H58" s="111">
        <v>0.22</v>
      </c>
      <c r="I58" s="111">
        <v>0.28000000000000003</v>
      </c>
      <c r="J58" s="111">
        <v>0</v>
      </c>
      <c r="K58" s="111">
        <v>0.22</v>
      </c>
      <c r="L58" s="111">
        <v>51.1</v>
      </c>
      <c r="M58" s="111">
        <v>87.5</v>
      </c>
      <c r="N58" s="111">
        <v>28</v>
      </c>
      <c r="O58" s="113">
        <v>1.96</v>
      </c>
    </row>
    <row r="59" spans="1:15" ht="17.100000000000001" customHeight="1" x14ac:dyDescent="0.3">
      <c r="A59" s="108"/>
      <c r="B59" s="109" t="s">
        <v>120</v>
      </c>
      <c r="C59" s="110">
        <v>180</v>
      </c>
      <c r="D59" s="111">
        <v>4.37</v>
      </c>
      <c r="E59" s="111">
        <f>2.7*1.8</f>
        <v>4.8600000000000003</v>
      </c>
      <c r="F59" s="111">
        <v>7.1749999999999998</v>
      </c>
      <c r="G59" s="111">
        <f t="shared" si="10"/>
        <v>89.92</v>
      </c>
      <c r="H59" s="111">
        <v>3.5000000000000003E-2</v>
      </c>
      <c r="I59" s="111">
        <v>0.52</v>
      </c>
      <c r="J59" s="111">
        <v>0.35</v>
      </c>
      <c r="K59" s="111">
        <v>0.5</v>
      </c>
      <c r="L59" s="111">
        <v>217</v>
      </c>
      <c r="M59" s="111">
        <v>57.96</v>
      </c>
      <c r="N59" s="111">
        <v>24.5</v>
      </c>
      <c r="O59" s="111">
        <v>0.17499999999999999</v>
      </c>
    </row>
    <row r="60" spans="1:15" ht="17.100000000000001" customHeight="1" x14ac:dyDescent="0.3">
      <c r="A60" s="128"/>
      <c r="B60" s="129" t="s">
        <v>95</v>
      </c>
      <c r="C60" s="130">
        <f>SUM(C53:C59)+270</f>
        <v>1220</v>
      </c>
      <c r="D60" s="131">
        <f>SUM(D53:D59)</f>
        <v>37.79</v>
      </c>
      <c r="E60" s="131">
        <f t="shared" ref="E60:O60" si="11">SUM(E53:E59)</f>
        <v>27.49</v>
      </c>
      <c r="F60" s="131">
        <f t="shared" si="11"/>
        <v>132.755</v>
      </c>
      <c r="G60" s="131">
        <f t="shared" si="11"/>
        <v>929.58999999999992</v>
      </c>
      <c r="H60" s="131">
        <f t="shared" si="11"/>
        <v>0.50900000000000001</v>
      </c>
      <c r="I60" s="131">
        <f t="shared" si="11"/>
        <v>40.420000000000009</v>
      </c>
      <c r="J60" s="131">
        <f t="shared" si="11"/>
        <v>1.24</v>
      </c>
      <c r="K60" s="131">
        <f t="shared" si="11"/>
        <v>2.06</v>
      </c>
      <c r="L60" s="131">
        <f t="shared" si="11"/>
        <v>524.25</v>
      </c>
      <c r="M60" s="131">
        <f t="shared" si="11"/>
        <v>526.2399999999999</v>
      </c>
      <c r="N60" s="131">
        <f t="shared" si="11"/>
        <v>132.24</v>
      </c>
      <c r="O60" s="131">
        <f t="shared" si="11"/>
        <v>5.8769999999999998</v>
      </c>
    </row>
    <row r="61" spans="1:15" ht="17.100000000000001" customHeight="1" x14ac:dyDescent="0.3">
      <c r="A61" s="322" t="s">
        <v>121</v>
      </c>
      <c r="B61" s="324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ht="17.100000000000001" customHeight="1" x14ac:dyDescent="0.3">
      <c r="A62" s="318" t="s">
        <v>97</v>
      </c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</row>
    <row r="63" spans="1:15" ht="17.100000000000001" customHeight="1" x14ac:dyDescent="0.3">
      <c r="A63" s="93"/>
      <c r="B63" s="94" t="s">
        <v>122</v>
      </c>
      <c r="C63" s="95">
        <v>80</v>
      </c>
      <c r="D63" s="96">
        <v>1.0507000000000002</v>
      </c>
      <c r="E63" s="96">
        <v>0.19152</v>
      </c>
      <c r="F63" s="96">
        <v>3.6388800000000003</v>
      </c>
      <c r="G63" s="96">
        <f>F63*4+E63*9+D63*4</f>
        <v>20.482000000000003</v>
      </c>
      <c r="H63" s="96">
        <v>6.3840000000000008E-2</v>
      </c>
      <c r="I63" s="96">
        <v>16.757999999999999</v>
      </c>
      <c r="J63" s="96">
        <v>0</v>
      </c>
      <c r="K63" s="96">
        <v>0.66500000000000004</v>
      </c>
      <c r="L63" s="96">
        <v>13.406400000000001</v>
      </c>
      <c r="M63" s="96">
        <v>24.897600000000001</v>
      </c>
      <c r="N63" s="96">
        <v>19.152000000000001</v>
      </c>
      <c r="O63" s="96">
        <v>0.86184000000000005</v>
      </c>
    </row>
    <row r="64" spans="1:15" ht="17.100000000000001" customHeight="1" x14ac:dyDescent="0.3">
      <c r="A64" s="93" t="s">
        <v>123</v>
      </c>
      <c r="B64" s="94" t="s">
        <v>124</v>
      </c>
      <c r="C64" s="95">
        <v>110</v>
      </c>
      <c r="D64" s="107">
        <f>6.4+1.33</f>
        <v>7.73</v>
      </c>
      <c r="E64" s="107">
        <f>4.08+4.61</f>
        <v>8.6900000000000013</v>
      </c>
      <c r="F64" s="107">
        <f>5.8+4.9</f>
        <v>10.7</v>
      </c>
      <c r="G64" s="96">
        <f t="shared" ref="G64:G68" si="12">F64*4+E64*9+D64*4</f>
        <v>151.93</v>
      </c>
      <c r="H64" s="107">
        <v>5.6000000000000001E-2</v>
      </c>
      <c r="I64" s="107">
        <f>2.67+0.16</f>
        <v>2.83</v>
      </c>
      <c r="J64" s="107">
        <v>0.41</v>
      </c>
      <c r="K64" s="107">
        <v>0</v>
      </c>
      <c r="L64" s="107">
        <f>35.72+33.4</f>
        <v>69.12</v>
      </c>
      <c r="M64" s="107">
        <f>61.69+29.09</f>
        <v>90.78</v>
      </c>
      <c r="N64" s="107">
        <f>14.12+5.84</f>
        <v>19.96</v>
      </c>
      <c r="O64" s="107">
        <f>0.372+0.14</f>
        <v>0.51200000000000001</v>
      </c>
    </row>
    <row r="65" spans="1:15" ht="17.100000000000001" customHeight="1" x14ac:dyDescent="0.3">
      <c r="A65" s="93">
        <v>312</v>
      </c>
      <c r="B65" s="94" t="s">
        <v>106</v>
      </c>
      <c r="C65" s="95">
        <v>150</v>
      </c>
      <c r="D65" s="96">
        <v>3.4577999999999998</v>
      </c>
      <c r="E65" s="96">
        <v>5.4239999999999995</v>
      </c>
      <c r="F65" s="96">
        <v>23.051999999999996</v>
      </c>
      <c r="G65" s="96">
        <f t="shared" si="12"/>
        <v>154.85519999999997</v>
      </c>
      <c r="H65" s="96">
        <v>0.15820000000000001</v>
      </c>
      <c r="I65" s="96">
        <v>20.452999999999999</v>
      </c>
      <c r="J65" s="96">
        <v>0</v>
      </c>
      <c r="K65" s="96">
        <v>0.20339999999999997</v>
      </c>
      <c r="L65" s="96">
        <v>41.696999999999996</v>
      </c>
      <c r="M65" s="96">
        <v>97.74499999999999</v>
      </c>
      <c r="N65" s="96">
        <v>31.357499999999998</v>
      </c>
      <c r="O65" s="96">
        <v>1.1413</v>
      </c>
    </row>
    <row r="66" spans="1:15" ht="17.100000000000001" customHeight="1" x14ac:dyDescent="0.3">
      <c r="A66" s="93">
        <v>377</v>
      </c>
      <c r="B66" s="94" t="s">
        <v>125</v>
      </c>
      <c r="C66" s="95">
        <v>200</v>
      </c>
      <c r="D66" s="19">
        <v>0.13</v>
      </c>
      <c r="E66" s="19">
        <v>1.8000000000000002E-2</v>
      </c>
      <c r="F66" s="19">
        <f>15.2-4.95</f>
        <v>10.25</v>
      </c>
      <c r="G66" s="96">
        <f t="shared" si="12"/>
        <v>41.682000000000002</v>
      </c>
      <c r="H66" s="19">
        <v>0</v>
      </c>
      <c r="I66" s="19">
        <v>2.83</v>
      </c>
      <c r="J66" s="19">
        <v>0</v>
      </c>
      <c r="K66" s="19">
        <v>0.05</v>
      </c>
      <c r="L66" s="19">
        <v>14.05</v>
      </c>
      <c r="M66" s="19">
        <v>4.4000000000000004</v>
      </c>
      <c r="N66" s="19">
        <v>2.4</v>
      </c>
      <c r="O66" s="19">
        <v>0.38</v>
      </c>
    </row>
    <row r="67" spans="1:15" ht="17.100000000000001" customHeight="1" x14ac:dyDescent="0.3">
      <c r="A67" s="93"/>
      <c r="B67" s="94" t="s">
        <v>94</v>
      </c>
      <c r="C67" s="95">
        <v>25</v>
      </c>
      <c r="D67" s="96">
        <v>1.6625000000000001</v>
      </c>
      <c r="E67" s="96">
        <v>0.3</v>
      </c>
      <c r="F67" s="96">
        <v>10.462499999999999</v>
      </c>
      <c r="G67" s="96">
        <f t="shared" si="12"/>
        <v>51.199999999999996</v>
      </c>
      <c r="H67" s="96">
        <v>0.13124999999999998</v>
      </c>
      <c r="I67" s="96">
        <v>0.17499999999999996</v>
      </c>
      <c r="J67" s="96">
        <v>0</v>
      </c>
      <c r="K67" s="96">
        <v>0.13124999999999998</v>
      </c>
      <c r="L67" s="96">
        <v>31.937499999999996</v>
      </c>
      <c r="M67" s="96">
        <v>54.6875</v>
      </c>
      <c r="N67" s="96">
        <v>17.5</v>
      </c>
      <c r="O67" s="96">
        <v>1.2249999999999999</v>
      </c>
    </row>
    <row r="68" spans="1:15" ht="17.100000000000001" customHeight="1" x14ac:dyDescent="0.3">
      <c r="A68" s="124" t="s">
        <v>100</v>
      </c>
      <c r="B68" s="94" t="s">
        <v>126</v>
      </c>
      <c r="C68" s="95">
        <v>50</v>
      </c>
      <c r="D68" s="96">
        <v>3.1</v>
      </c>
      <c r="E68" s="19">
        <v>4.3</v>
      </c>
      <c r="F68" s="19">
        <v>23.8</v>
      </c>
      <c r="G68" s="96">
        <f t="shared" si="12"/>
        <v>146.30000000000001</v>
      </c>
      <c r="H68" s="19">
        <v>5.5E-2</v>
      </c>
      <c r="I68" s="19">
        <v>1.7</v>
      </c>
      <c r="J68" s="19">
        <v>0.62</v>
      </c>
      <c r="K68" s="19">
        <v>0.60499999999999998</v>
      </c>
      <c r="L68" s="19">
        <v>26.7</v>
      </c>
      <c r="M68" s="19">
        <v>40.4</v>
      </c>
      <c r="N68" s="19">
        <v>7.3</v>
      </c>
      <c r="O68" s="19">
        <v>0.17199999999999999</v>
      </c>
    </row>
    <row r="69" spans="1:15" ht="17.100000000000001" customHeight="1" x14ac:dyDescent="0.3">
      <c r="A69" s="100"/>
      <c r="B69" s="101" t="s">
        <v>86</v>
      </c>
      <c r="C69" s="102">
        <f>SUM(C63:C68)</f>
        <v>615</v>
      </c>
      <c r="D69" s="103">
        <f t="shared" ref="D69:O69" si="13">SUM(D63:D68)</f>
        <v>17.131000000000004</v>
      </c>
      <c r="E69" s="103">
        <f t="shared" si="13"/>
        <v>18.923520000000003</v>
      </c>
      <c r="F69" s="103">
        <f t="shared" si="13"/>
        <v>81.903379999999999</v>
      </c>
      <c r="G69" s="103">
        <f t="shared" si="13"/>
        <v>566.44920000000002</v>
      </c>
      <c r="H69" s="103">
        <f t="shared" si="13"/>
        <v>0.46428999999999998</v>
      </c>
      <c r="I69" s="103">
        <f t="shared" si="13"/>
        <v>44.745999999999995</v>
      </c>
      <c r="J69" s="103">
        <f t="shared" si="13"/>
        <v>1.03</v>
      </c>
      <c r="K69" s="103">
        <f t="shared" si="13"/>
        <v>1.6546500000000002</v>
      </c>
      <c r="L69" s="103">
        <f t="shared" si="13"/>
        <v>196.9109</v>
      </c>
      <c r="M69" s="103">
        <f t="shared" si="13"/>
        <v>312.91009999999994</v>
      </c>
      <c r="N69" s="103">
        <f t="shared" si="13"/>
        <v>97.669499999999999</v>
      </c>
      <c r="O69" s="103">
        <f t="shared" si="13"/>
        <v>4.292139999999999</v>
      </c>
    </row>
    <row r="70" spans="1:15" ht="17.100000000000001" customHeight="1" x14ac:dyDescent="0.3">
      <c r="A70" s="318" t="s">
        <v>22</v>
      </c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</row>
    <row r="71" spans="1:15" ht="17.100000000000001" customHeight="1" x14ac:dyDescent="0.3">
      <c r="A71" s="108">
        <v>96</v>
      </c>
      <c r="B71" s="138" t="s">
        <v>127</v>
      </c>
      <c r="C71" s="116">
        <v>250</v>
      </c>
      <c r="D71" s="107">
        <v>2.02</v>
      </c>
      <c r="E71" s="107">
        <v>5.09</v>
      </c>
      <c r="F71" s="107">
        <v>11.98</v>
      </c>
      <c r="G71" s="107">
        <f>D71*4+E71*9+F71*4</f>
        <v>101.81</v>
      </c>
      <c r="H71" s="107">
        <v>0.09</v>
      </c>
      <c r="I71" s="107">
        <v>8.3800000000000008</v>
      </c>
      <c r="J71" s="107">
        <v>0</v>
      </c>
      <c r="K71" s="107">
        <v>0.5</v>
      </c>
      <c r="L71" s="107">
        <v>29.15</v>
      </c>
      <c r="M71" s="107">
        <v>56.73</v>
      </c>
      <c r="N71" s="107">
        <v>24.18</v>
      </c>
      <c r="O71" s="127">
        <v>0.93</v>
      </c>
    </row>
    <row r="72" spans="1:15" ht="17.100000000000001" customHeight="1" x14ac:dyDescent="0.3">
      <c r="A72" s="108"/>
      <c r="B72" s="109" t="s">
        <v>128</v>
      </c>
      <c r="C72" s="110">
        <v>85</v>
      </c>
      <c r="D72" s="137">
        <v>19.3</v>
      </c>
      <c r="E72" s="137">
        <v>16</v>
      </c>
      <c r="F72" s="137">
        <v>0.06</v>
      </c>
      <c r="G72" s="107">
        <f t="shared" ref="G72:G76" si="14">D72*4+E72*9+F72*4</f>
        <v>221.44</v>
      </c>
      <c r="H72" s="137">
        <v>0.06</v>
      </c>
      <c r="I72" s="137">
        <v>2.08</v>
      </c>
      <c r="J72" s="137">
        <v>0.9</v>
      </c>
      <c r="K72" s="107">
        <v>0.3</v>
      </c>
      <c r="L72" s="137">
        <v>43.65</v>
      </c>
      <c r="M72" s="137">
        <v>149.58000000000001</v>
      </c>
      <c r="N72" s="137">
        <v>19.25</v>
      </c>
      <c r="O72" s="137">
        <v>1.71</v>
      </c>
    </row>
    <row r="73" spans="1:15" ht="17.100000000000001" customHeight="1" x14ac:dyDescent="0.3">
      <c r="A73" s="136">
        <v>143</v>
      </c>
      <c r="B73" s="105" t="s">
        <v>129</v>
      </c>
      <c r="C73" s="106">
        <v>150</v>
      </c>
      <c r="D73" s="112">
        <v>3.29</v>
      </c>
      <c r="E73" s="112">
        <v>13.61</v>
      </c>
      <c r="F73" s="112">
        <v>16.649999999999999</v>
      </c>
      <c r="G73" s="107">
        <f t="shared" si="14"/>
        <v>202.25</v>
      </c>
      <c r="H73" s="112">
        <v>0.1</v>
      </c>
      <c r="I73" s="112">
        <v>23.49</v>
      </c>
      <c r="J73" s="112">
        <v>0.97</v>
      </c>
      <c r="K73" s="107">
        <v>1.2</v>
      </c>
      <c r="L73" s="112">
        <v>66</v>
      </c>
      <c r="M73" s="112">
        <v>75.709999999999994</v>
      </c>
      <c r="N73" s="112">
        <v>30.13</v>
      </c>
      <c r="O73" s="114">
        <v>1.24</v>
      </c>
    </row>
    <row r="74" spans="1:15" ht="17.100000000000001" customHeight="1" x14ac:dyDescent="0.3">
      <c r="A74" s="108"/>
      <c r="B74" s="109" t="s">
        <v>130</v>
      </c>
      <c r="C74" s="110">
        <v>200</v>
      </c>
      <c r="D74" s="111">
        <v>1</v>
      </c>
      <c r="E74" s="111">
        <v>0.5</v>
      </c>
      <c r="F74" s="111">
        <v>25.13</v>
      </c>
      <c r="G74" s="107">
        <f>D74*4+E74*9+F74*4</f>
        <v>109.02</v>
      </c>
      <c r="H74" s="111">
        <v>0.08</v>
      </c>
      <c r="I74" s="111">
        <v>10</v>
      </c>
      <c r="J74" s="111">
        <v>0</v>
      </c>
      <c r="K74" s="111">
        <v>0.65</v>
      </c>
      <c r="L74" s="111">
        <v>50</v>
      </c>
      <c r="M74" s="111">
        <v>36</v>
      </c>
      <c r="N74" s="111">
        <v>28.3</v>
      </c>
      <c r="O74" s="113">
        <v>1</v>
      </c>
    </row>
    <row r="75" spans="1:15" ht="17.100000000000001" customHeight="1" x14ac:dyDescent="0.3">
      <c r="A75" s="136"/>
      <c r="B75" s="109" t="s">
        <v>93</v>
      </c>
      <c r="C75" s="106">
        <v>40</v>
      </c>
      <c r="D75" s="139">
        <v>2.7</v>
      </c>
      <c r="E75" s="139">
        <v>0.34</v>
      </c>
      <c r="F75" s="139">
        <v>20.059999999999999</v>
      </c>
      <c r="G75" s="107">
        <f t="shared" si="14"/>
        <v>94.1</v>
      </c>
      <c r="H75" s="139">
        <v>0.04</v>
      </c>
      <c r="I75" s="139">
        <v>0</v>
      </c>
      <c r="J75" s="139">
        <v>0</v>
      </c>
      <c r="K75" s="139">
        <v>0.44</v>
      </c>
      <c r="L75" s="139">
        <v>8</v>
      </c>
      <c r="M75" s="139">
        <v>26</v>
      </c>
      <c r="N75" s="139">
        <v>5.6</v>
      </c>
      <c r="O75" s="139">
        <v>0.44</v>
      </c>
    </row>
    <row r="76" spans="1:15" ht="17.100000000000001" customHeight="1" x14ac:dyDescent="0.3">
      <c r="A76" s="108"/>
      <c r="B76" s="109" t="s">
        <v>94</v>
      </c>
      <c r="C76" s="110">
        <v>20</v>
      </c>
      <c r="D76" s="112">
        <v>1.33</v>
      </c>
      <c r="E76" s="112">
        <v>0.24</v>
      </c>
      <c r="F76" s="112">
        <v>8.3699999999999992</v>
      </c>
      <c r="G76" s="107">
        <f t="shared" si="14"/>
        <v>40.959999999999994</v>
      </c>
      <c r="H76" s="112">
        <v>0.11</v>
      </c>
      <c r="I76" s="112">
        <v>0.14000000000000001</v>
      </c>
      <c r="J76" s="112">
        <v>0</v>
      </c>
      <c r="K76" s="112">
        <v>0.11</v>
      </c>
      <c r="L76" s="112">
        <v>25.55</v>
      </c>
      <c r="M76" s="112">
        <v>43.75</v>
      </c>
      <c r="N76" s="112">
        <v>14</v>
      </c>
      <c r="O76" s="114">
        <v>0.98</v>
      </c>
    </row>
    <row r="77" spans="1:15" ht="17.100000000000001" customHeight="1" x14ac:dyDescent="0.3">
      <c r="A77" s="108"/>
      <c r="B77" s="109" t="s">
        <v>108</v>
      </c>
      <c r="C77" s="126">
        <v>200</v>
      </c>
      <c r="D77" s="107">
        <v>5.8</v>
      </c>
      <c r="E77" s="107">
        <v>5</v>
      </c>
      <c r="F77" s="107">
        <v>9.6</v>
      </c>
      <c r="G77" s="107">
        <v>107</v>
      </c>
      <c r="H77" s="107">
        <v>0.08</v>
      </c>
      <c r="I77" s="107">
        <v>2.6</v>
      </c>
      <c r="J77" s="107">
        <v>0.4</v>
      </c>
      <c r="K77" s="107">
        <v>0.5</v>
      </c>
      <c r="L77" s="107">
        <v>240</v>
      </c>
      <c r="M77" s="107">
        <v>180</v>
      </c>
      <c r="N77" s="107">
        <v>28</v>
      </c>
      <c r="O77" s="127">
        <v>0.2</v>
      </c>
    </row>
    <row r="78" spans="1:15" ht="17.100000000000001" customHeight="1" x14ac:dyDescent="0.3">
      <c r="A78" s="128"/>
      <c r="B78" s="129" t="s">
        <v>95</v>
      </c>
      <c r="C78" s="130">
        <f>SUM(C71:C77)</f>
        <v>945</v>
      </c>
      <c r="D78" s="131">
        <f t="shared" ref="D78:O78" si="15">SUM(D71:D77)</f>
        <v>35.44</v>
      </c>
      <c r="E78" s="131">
        <f t="shared" si="15"/>
        <v>40.780000000000008</v>
      </c>
      <c r="F78" s="131">
        <f t="shared" si="15"/>
        <v>91.85</v>
      </c>
      <c r="G78" s="131">
        <f t="shared" si="15"/>
        <v>876.58</v>
      </c>
      <c r="H78" s="131">
        <f t="shared" si="15"/>
        <v>0.55999999999999994</v>
      </c>
      <c r="I78" s="131">
        <f t="shared" si="15"/>
        <v>46.690000000000005</v>
      </c>
      <c r="J78" s="131">
        <f t="shared" si="15"/>
        <v>2.27</v>
      </c>
      <c r="K78" s="131">
        <f t="shared" si="15"/>
        <v>3.6999999999999997</v>
      </c>
      <c r="L78" s="131">
        <f t="shared" si="15"/>
        <v>462.35</v>
      </c>
      <c r="M78" s="131">
        <f t="shared" si="15"/>
        <v>567.77</v>
      </c>
      <c r="N78" s="131">
        <f t="shared" si="15"/>
        <v>149.45999999999998</v>
      </c>
      <c r="O78" s="131">
        <f t="shared" si="15"/>
        <v>6.5000000000000009</v>
      </c>
    </row>
    <row r="79" spans="1:15" ht="17.100000000000001" customHeight="1" x14ac:dyDescent="0.3">
      <c r="A79" s="322" t="s">
        <v>131</v>
      </c>
      <c r="B79" s="324"/>
      <c r="C79" s="119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ht="17.100000000000001" customHeight="1" x14ac:dyDescent="0.3">
      <c r="A80" s="318" t="s">
        <v>97</v>
      </c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</row>
    <row r="81" spans="1:15" ht="17.100000000000001" customHeight="1" x14ac:dyDescent="0.3">
      <c r="A81" s="132"/>
      <c r="B81" s="122" t="s">
        <v>132</v>
      </c>
      <c r="C81" s="123">
        <v>70</v>
      </c>
      <c r="D81" s="96">
        <v>0.48719999999999997</v>
      </c>
      <c r="E81" s="96">
        <v>6.9599999999999995E-2</v>
      </c>
      <c r="F81" s="96">
        <v>1.3223999999999998</v>
      </c>
      <c r="G81" s="96">
        <f>F81*4+E81*9+D81*4</f>
        <v>7.8647999999999989</v>
      </c>
      <c r="H81" s="96">
        <v>2.3199999999999998E-2</v>
      </c>
      <c r="I81" s="96">
        <v>3.4103999999999997</v>
      </c>
      <c r="J81" s="96">
        <v>0</v>
      </c>
      <c r="K81" s="96">
        <v>6.9599999999999995E-2</v>
      </c>
      <c r="L81" s="96">
        <v>11.831999999999999</v>
      </c>
      <c r="M81" s="96">
        <v>20.88</v>
      </c>
      <c r="N81" s="96">
        <v>9.7439999999999998</v>
      </c>
      <c r="O81" s="96">
        <v>0.34799999999999998</v>
      </c>
    </row>
    <row r="82" spans="1:15" ht="17.100000000000001" customHeight="1" x14ac:dyDescent="0.3">
      <c r="A82" s="93">
        <v>212</v>
      </c>
      <c r="B82" s="94" t="s">
        <v>133</v>
      </c>
      <c r="C82" s="95">
        <v>150</v>
      </c>
      <c r="D82" s="96">
        <v>15.771800000000001</v>
      </c>
      <c r="E82" s="96">
        <v>30.409400000000005</v>
      </c>
      <c r="F82" s="96">
        <v>2.7178</v>
      </c>
      <c r="G82" s="96">
        <f t="shared" ref="G82:G86" si="16">F82*4+E82*9+D82*4</f>
        <v>347.64300000000003</v>
      </c>
      <c r="H82" s="96">
        <v>0.14980000000000002</v>
      </c>
      <c r="I82" s="96">
        <v>0.21400000000000002</v>
      </c>
      <c r="J82" s="96">
        <v>2.88</v>
      </c>
      <c r="K82" s="96">
        <v>7.8</v>
      </c>
      <c r="L82" s="96">
        <v>95.444000000000003</v>
      </c>
      <c r="M82" s="96">
        <v>245.244</v>
      </c>
      <c r="N82" s="96">
        <v>20.0518</v>
      </c>
      <c r="O82" s="96">
        <v>2.7820000000000005</v>
      </c>
    </row>
    <row r="83" spans="1:15" ht="17.100000000000001" customHeight="1" x14ac:dyDescent="0.3">
      <c r="A83" s="93"/>
      <c r="B83" s="94" t="s">
        <v>101</v>
      </c>
      <c r="C83" s="95">
        <v>200</v>
      </c>
      <c r="D83" s="96">
        <v>0.6</v>
      </c>
      <c r="E83" s="96">
        <v>0.4</v>
      </c>
      <c r="F83" s="96">
        <v>10.4</v>
      </c>
      <c r="G83" s="96">
        <f t="shared" si="16"/>
        <v>47.6</v>
      </c>
      <c r="H83" s="96">
        <v>0.02</v>
      </c>
      <c r="I83" s="96">
        <v>3.4</v>
      </c>
      <c r="J83" s="96">
        <v>0</v>
      </c>
      <c r="K83" s="96">
        <v>0.4</v>
      </c>
      <c r="L83" s="96">
        <v>21.2</v>
      </c>
      <c r="M83" s="96">
        <v>22.6</v>
      </c>
      <c r="N83" s="96">
        <v>14.6</v>
      </c>
      <c r="O83" s="96">
        <v>3.2</v>
      </c>
    </row>
    <row r="84" spans="1:15" ht="17.100000000000001" customHeight="1" x14ac:dyDescent="0.3">
      <c r="A84" s="140"/>
      <c r="B84" s="94" t="s">
        <v>84</v>
      </c>
      <c r="C84" s="95">
        <v>40</v>
      </c>
      <c r="D84" s="96">
        <f>1.35*2</f>
        <v>2.7</v>
      </c>
      <c r="E84" s="96">
        <f>0.172*2</f>
        <v>0.34399999999999997</v>
      </c>
      <c r="F84" s="96">
        <f>10.03*2</f>
        <v>20.059999999999999</v>
      </c>
      <c r="G84" s="96">
        <f t="shared" si="16"/>
        <v>94.135999999999996</v>
      </c>
      <c r="H84" s="96">
        <v>2.4E-2</v>
      </c>
      <c r="I84" s="96">
        <v>0</v>
      </c>
      <c r="J84" s="96">
        <v>0</v>
      </c>
      <c r="K84" s="96">
        <v>0.42</v>
      </c>
      <c r="L84" s="96">
        <v>8</v>
      </c>
      <c r="M84" s="96">
        <v>26</v>
      </c>
      <c r="N84" s="96">
        <v>5.6</v>
      </c>
      <c r="O84" s="96">
        <v>0.4</v>
      </c>
    </row>
    <row r="85" spans="1:15" ht="17.100000000000001" customHeight="1" x14ac:dyDescent="0.3">
      <c r="A85" s="141"/>
      <c r="B85" s="94" t="s">
        <v>94</v>
      </c>
      <c r="C85" s="95">
        <v>25</v>
      </c>
      <c r="D85" s="96">
        <v>1.6625000000000001</v>
      </c>
      <c r="E85" s="96">
        <v>0.3</v>
      </c>
      <c r="F85" s="96">
        <v>10.462499999999999</v>
      </c>
      <c r="G85" s="96">
        <f t="shared" si="16"/>
        <v>51.199999999999996</v>
      </c>
      <c r="H85" s="96">
        <v>0.13124999999999998</v>
      </c>
      <c r="I85" s="96">
        <v>0.17499999999999996</v>
      </c>
      <c r="J85" s="96">
        <v>0</v>
      </c>
      <c r="K85" s="96">
        <v>0.13124999999999998</v>
      </c>
      <c r="L85" s="96">
        <v>31.937499999999996</v>
      </c>
      <c r="M85" s="96">
        <v>54.6875</v>
      </c>
      <c r="N85" s="96">
        <v>17.5</v>
      </c>
      <c r="O85" s="96">
        <v>1.2249999999999999</v>
      </c>
    </row>
    <row r="86" spans="1:15" ht="17.100000000000001" customHeight="1" x14ac:dyDescent="0.3">
      <c r="A86" s="93">
        <v>368</v>
      </c>
      <c r="B86" s="94" t="s">
        <v>130</v>
      </c>
      <c r="C86" s="95">
        <v>120</v>
      </c>
      <c r="D86" s="19">
        <v>0.5</v>
      </c>
      <c r="E86" s="19">
        <v>0.5</v>
      </c>
      <c r="F86" s="19">
        <v>12.8</v>
      </c>
      <c r="G86" s="96">
        <f t="shared" si="16"/>
        <v>57.7</v>
      </c>
      <c r="H86" s="19">
        <v>0.04</v>
      </c>
      <c r="I86" s="19">
        <v>5</v>
      </c>
      <c r="J86" s="19">
        <v>0</v>
      </c>
      <c r="K86" s="19">
        <v>0.33</v>
      </c>
      <c r="L86" s="19">
        <v>25</v>
      </c>
      <c r="M86" s="19">
        <v>18.3</v>
      </c>
      <c r="N86" s="19">
        <v>14.16</v>
      </c>
      <c r="O86" s="19">
        <v>0.5</v>
      </c>
    </row>
    <row r="87" spans="1:15" ht="17.100000000000001" customHeight="1" x14ac:dyDescent="0.3">
      <c r="A87" s="100"/>
      <c r="B87" s="101" t="s">
        <v>86</v>
      </c>
      <c r="C87" s="102">
        <f>SUM(C81:C86)</f>
        <v>605</v>
      </c>
      <c r="D87" s="103">
        <f t="shared" ref="D87:O87" si="17">SUM(D81:D86)</f>
        <v>21.721500000000002</v>
      </c>
      <c r="E87" s="103">
        <f t="shared" si="17"/>
        <v>32.02300000000001</v>
      </c>
      <c r="F87" s="103">
        <f t="shared" si="17"/>
        <v>57.762699999999995</v>
      </c>
      <c r="G87" s="103">
        <f t="shared" si="17"/>
        <v>606.14380000000017</v>
      </c>
      <c r="H87" s="103">
        <f t="shared" si="17"/>
        <v>0.38824999999999993</v>
      </c>
      <c r="I87" s="103">
        <f t="shared" si="17"/>
        <v>12.199400000000001</v>
      </c>
      <c r="J87" s="103">
        <f t="shared" si="17"/>
        <v>2.88</v>
      </c>
      <c r="K87" s="103">
        <f t="shared" si="17"/>
        <v>9.1508500000000002</v>
      </c>
      <c r="L87" s="103">
        <f t="shared" si="17"/>
        <v>193.4135</v>
      </c>
      <c r="M87" s="103">
        <f t="shared" si="17"/>
        <v>387.71150000000006</v>
      </c>
      <c r="N87" s="103">
        <f t="shared" si="17"/>
        <v>81.655799999999999</v>
      </c>
      <c r="O87" s="103">
        <f t="shared" si="17"/>
        <v>8.4550000000000001</v>
      </c>
    </row>
    <row r="88" spans="1:15" ht="17.100000000000001" customHeight="1" x14ac:dyDescent="0.3">
      <c r="A88" s="318" t="s">
        <v>22</v>
      </c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</row>
    <row r="89" spans="1:15" ht="17.100000000000001" customHeight="1" x14ac:dyDescent="0.3">
      <c r="A89" s="136">
        <v>84</v>
      </c>
      <c r="B89" s="105" t="s">
        <v>134</v>
      </c>
      <c r="C89" s="106">
        <v>250</v>
      </c>
      <c r="D89" s="137">
        <v>3.56</v>
      </c>
      <c r="E89" s="137">
        <v>5.12</v>
      </c>
      <c r="F89" s="137">
        <v>14.17</v>
      </c>
      <c r="G89" s="19">
        <f t="shared" ref="G89:G95" si="18">D89*4+E89*9+F89*4</f>
        <v>117</v>
      </c>
      <c r="H89" s="137">
        <v>0.1</v>
      </c>
      <c r="I89" s="137">
        <v>6.7</v>
      </c>
      <c r="J89" s="137">
        <v>0</v>
      </c>
      <c r="K89" s="137">
        <v>0.5</v>
      </c>
      <c r="L89" s="137">
        <v>54.18</v>
      </c>
      <c r="M89" s="137">
        <v>99.5</v>
      </c>
      <c r="N89" s="137">
        <v>34.450000000000003</v>
      </c>
      <c r="O89" s="142">
        <v>1.73</v>
      </c>
    </row>
    <row r="90" spans="1:15" ht="17.100000000000001" customHeight="1" x14ac:dyDescent="0.3">
      <c r="A90" s="143">
        <v>229</v>
      </c>
      <c r="B90" s="138" t="s">
        <v>135</v>
      </c>
      <c r="C90" s="116">
        <v>200</v>
      </c>
      <c r="D90" s="112">
        <v>19.5</v>
      </c>
      <c r="E90" s="112">
        <v>9.9</v>
      </c>
      <c r="F90" s="112">
        <v>7.6</v>
      </c>
      <c r="G90" s="19">
        <f t="shared" si="18"/>
        <v>197.50000000000003</v>
      </c>
      <c r="H90" s="112">
        <v>0.1</v>
      </c>
      <c r="I90" s="112">
        <v>7.46</v>
      </c>
      <c r="J90" s="112">
        <v>0.11</v>
      </c>
      <c r="K90" s="137">
        <v>0.9</v>
      </c>
      <c r="L90" s="112">
        <v>78.14</v>
      </c>
      <c r="M90" s="112">
        <v>324.38</v>
      </c>
      <c r="N90" s="112">
        <v>97.06</v>
      </c>
      <c r="O90" s="114">
        <v>1.7</v>
      </c>
    </row>
    <row r="91" spans="1:15" ht="17.100000000000001" customHeight="1" x14ac:dyDescent="0.3">
      <c r="A91" s="108">
        <v>392</v>
      </c>
      <c r="B91" s="109" t="s">
        <v>136</v>
      </c>
      <c r="C91" s="110">
        <v>200</v>
      </c>
      <c r="D91" s="107">
        <v>1.6</v>
      </c>
      <c r="E91" s="107">
        <v>1.6</v>
      </c>
      <c r="F91" s="107">
        <v>25.56</v>
      </c>
      <c r="G91" s="107">
        <f t="shared" si="18"/>
        <v>123.03999999999999</v>
      </c>
      <c r="H91" s="107">
        <v>0</v>
      </c>
      <c r="I91" s="107">
        <v>0.1</v>
      </c>
      <c r="J91" s="107">
        <v>0</v>
      </c>
      <c r="K91" s="137">
        <v>0.3</v>
      </c>
      <c r="L91" s="107">
        <v>21.5</v>
      </c>
      <c r="M91" s="107">
        <v>5.8</v>
      </c>
      <c r="N91" s="107">
        <v>2.4</v>
      </c>
      <c r="O91" s="127">
        <v>0.48</v>
      </c>
    </row>
    <row r="92" spans="1:15" ht="17.100000000000001" customHeight="1" x14ac:dyDescent="0.3">
      <c r="A92" s="108"/>
      <c r="B92" s="138" t="s">
        <v>137</v>
      </c>
      <c r="C92" s="116">
        <v>80</v>
      </c>
      <c r="D92" s="112">
        <v>4.9000000000000004</v>
      </c>
      <c r="E92" s="112">
        <v>6.57</v>
      </c>
      <c r="F92" s="112">
        <v>54.25</v>
      </c>
      <c r="G92" s="19">
        <f>D92*4+E92*9+F92*4</f>
        <v>295.73</v>
      </c>
      <c r="H92" s="112">
        <v>0.08</v>
      </c>
      <c r="I92" s="112">
        <v>6.4000000000000001E-2</v>
      </c>
      <c r="J92" s="112">
        <v>0.13</v>
      </c>
      <c r="K92" s="112">
        <v>1.2</v>
      </c>
      <c r="L92" s="112">
        <v>15.6</v>
      </c>
      <c r="M92" s="112">
        <v>49.12</v>
      </c>
      <c r="N92" s="112">
        <v>19.28</v>
      </c>
      <c r="O92" s="114">
        <v>1.1120000000000001</v>
      </c>
    </row>
    <row r="93" spans="1:15" ht="17.100000000000001" customHeight="1" x14ac:dyDescent="0.3">
      <c r="A93" s="136"/>
      <c r="B93" s="109" t="s">
        <v>93</v>
      </c>
      <c r="C93" s="106">
        <v>40</v>
      </c>
      <c r="D93" s="139">
        <v>2.7</v>
      </c>
      <c r="E93" s="139">
        <v>0.34</v>
      </c>
      <c r="F93" s="139">
        <v>20.059999999999999</v>
      </c>
      <c r="G93" s="19">
        <f t="shared" si="18"/>
        <v>94.1</v>
      </c>
      <c r="H93" s="139">
        <v>0.04</v>
      </c>
      <c r="I93" s="139">
        <v>0</v>
      </c>
      <c r="J93" s="139">
        <v>0</v>
      </c>
      <c r="K93" s="139">
        <v>0.44</v>
      </c>
      <c r="L93" s="139">
        <v>8</v>
      </c>
      <c r="M93" s="139">
        <v>26</v>
      </c>
      <c r="N93" s="139">
        <v>5.6</v>
      </c>
      <c r="O93" s="139">
        <v>0.44</v>
      </c>
    </row>
    <row r="94" spans="1:15" ht="17.100000000000001" customHeight="1" x14ac:dyDescent="0.3">
      <c r="A94" s="108"/>
      <c r="B94" s="109" t="s">
        <v>94</v>
      </c>
      <c r="C94" s="110">
        <v>40</v>
      </c>
      <c r="D94" s="112">
        <v>2.66</v>
      </c>
      <c r="E94" s="112">
        <v>0.48</v>
      </c>
      <c r="F94" s="112">
        <v>16.739999999999998</v>
      </c>
      <c r="G94" s="19">
        <f t="shared" si="18"/>
        <v>81.919999999999987</v>
      </c>
      <c r="H94" s="112">
        <v>0.22</v>
      </c>
      <c r="I94" s="112">
        <v>0.28000000000000003</v>
      </c>
      <c r="J94" s="112">
        <v>0</v>
      </c>
      <c r="K94" s="112">
        <v>0.22</v>
      </c>
      <c r="L94" s="112">
        <v>51.1</v>
      </c>
      <c r="M94" s="112">
        <v>87.5</v>
      </c>
      <c r="N94" s="112">
        <v>28</v>
      </c>
      <c r="O94" s="114">
        <v>1.96</v>
      </c>
    </row>
    <row r="95" spans="1:15" ht="17.100000000000001" customHeight="1" x14ac:dyDescent="0.3">
      <c r="A95" s="108"/>
      <c r="B95" s="117" t="s">
        <v>138</v>
      </c>
      <c r="C95" s="118">
        <v>200</v>
      </c>
      <c r="D95" s="19">
        <v>0.9</v>
      </c>
      <c r="E95" s="19">
        <v>0</v>
      </c>
      <c r="F95" s="19">
        <v>30.15</v>
      </c>
      <c r="G95" s="19">
        <f t="shared" si="18"/>
        <v>124.19999999999999</v>
      </c>
      <c r="H95" s="19">
        <v>3.5000000000000003E-2</v>
      </c>
      <c r="I95" s="19">
        <v>7</v>
      </c>
      <c r="J95" s="19">
        <v>0</v>
      </c>
      <c r="K95" s="19">
        <v>0.38</v>
      </c>
      <c r="L95" s="19">
        <v>24.5</v>
      </c>
      <c r="M95" s="19">
        <v>23.5</v>
      </c>
      <c r="N95" s="19">
        <v>16</v>
      </c>
      <c r="O95" s="19">
        <v>5.5</v>
      </c>
    </row>
    <row r="96" spans="1:15" ht="17.100000000000001" customHeight="1" x14ac:dyDescent="0.3">
      <c r="A96" s="128"/>
      <c r="B96" s="129" t="s">
        <v>95</v>
      </c>
      <c r="C96" s="130">
        <f t="shared" ref="C96:O96" si="19">SUM(C89:C95)</f>
        <v>1010</v>
      </c>
      <c r="D96" s="131">
        <f t="shared" si="19"/>
        <v>35.82</v>
      </c>
      <c r="E96" s="131">
        <f t="shared" si="19"/>
        <v>24.01</v>
      </c>
      <c r="F96" s="131">
        <f t="shared" si="19"/>
        <v>168.53</v>
      </c>
      <c r="G96" s="131">
        <f t="shared" si="19"/>
        <v>1033.49</v>
      </c>
      <c r="H96" s="131">
        <f t="shared" si="19"/>
        <v>0.57500000000000007</v>
      </c>
      <c r="I96" s="131">
        <f t="shared" si="19"/>
        <v>21.603999999999999</v>
      </c>
      <c r="J96" s="131">
        <f t="shared" si="19"/>
        <v>0.24</v>
      </c>
      <c r="K96" s="131">
        <f t="shared" si="19"/>
        <v>3.94</v>
      </c>
      <c r="L96" s="131">
        <f t="shared" si="19"/>
        <v>253.01999999999998</v>
      </c>
      <c r="M96" s="131">
        <f t="shared" si="19"/>
        <v>615.79999999999995</v>
      </c>
      <c r="N96" s="131">
        <f t="shared" si="19"/>
        <v>202.79</v>
      </c>
      <c r="O96" s="131">
        <f t="shared" si="19"/>
        <v>12.922000000000001</v>
      </c>
    </row>
    <row r="97" spans="1:15" ht="17.100000000000001" customHeight="1" x14ac:dyDescent="0.3">
      <c r="A97" s="322" t="s">
        <v>139</v>
      </c>
      <c r="B97" s="324"/>
      <c r="C97" s="119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</row>
    <row r="98" spans="1:15" ht="17.100000000000001" customHeight="1" x14ac:dyDescent="0.3">
      <c r="A98" s="318" t="s">
        <v>97</v>
      </c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</row>
    <row r="99" spans="1:15" ht="17.100000000000001" customHeight="1" x14ac:dyDescent="0.3">
      <c r="A99" s="93"/>
      <c r="B99" s="94" t="s">
        <v>98</v>
      </c>
      <c r="C99" s="95">
        <v>60</v>
      </c>
      <c r="D99" s="19">
        <v>0.42</v>
      </c>
      <c r="E99" s="19">
        <v>0.06</v>
      </c>
      <c r="F99" s="19">
        <v>1.1399999999999999</v>
      </c>
      <c r="G99" s="19">
        <f>F99*4+E99*9+D99*4</f>
        <v>6.7799999999999994</v>
      </c>
      <c r="H99" s="19">
        <v>0.02</v>
      </c>
      <c r="I99" s="19">
        <v>2.94</v>
      </c>
      <c r="J99" s="19">
        <v>0</v>
      </c>
      <c r="K99" s="19">
        <v>0.06</v>
      </c>
      <c r="L99" s="19">
        <v>10.199999999999999</v>
      </c>
      <c r="M99" s="19">
        <v>18</v>
      </c>
      <c r="N99" s="19">
        <v>8.4</v>
      </c>
      <c r="O99" s="19">
        <v>0.3</v>
      </c>
    </row>
    <row r="100" spans="1:15" ht="17.100000000000001" customHeight="1" x14ac:dyDescent="0.3">
      <c r="A100" s="93">
        <v>269</v>
      </c>
      <c r="B100" s="94" t="s">
        <v>140</v>
      </c>
      <c r="C100" s="95">
        <f>50*1.4</f>
        <v>70</v>
      </c>
      <c r="D100" s="107">
        <v>7.1495327102803738</v>
      </c>
      <c r="E100" s="107">
        <v>9.3925233644859816</v>
      </c>
      <c r="F100" s="107">
        <v>7.2336448598130838</v>
      </c>
      <c r="G100" s="107">
        <v>142.06542056074767</v>
      </c>
      <c r="H100" s="107">
        <v>8.4112149532710276E-2</v>
      </c>
      <c r="I100" s="107">
        <v>0.12616822429906543</v>
      </c>
      <c r="J100" s="107">
        <v>0.1</v>
      </c>
      <c r="K100" s="107">
        <v>0.42056074766355139</v>
      </c>
      <c r="L100" s="107">
        <v>20.579439252336446</v>
      </c>
      <c r="M100" s="107">
        <v>87.588785046728972</v>
      </c>
      <c r="N100" s="107">
        <v>16.355140186915886</v>
      </c>
      <c r="O100" s="107">
        <v>1.1869158878504673</v>
      </c>
    </row>
    <row r="101" spans="1:15" ht="17.100000000000001" customHeight="1" x14ac:dyDescent="0.3">
      <c r="A101" s="132" t="s">
        <v>141</v>
      </c>
      <c r="B101" s="122" t="s">
        <v>129</v>
      </c>
      <c r="C101" s="123">
        <v>160</v>
      </c>
      <c r="D101" s="96">
        <v>2.69</v>
      </c>
      <c r="E101" s="96">
        <v>5</v>
      </c>
      <c r="F101" s="96">
        <v>13.1</v>
      </c>
      <c r="G101" s="96">
        <v>216.3</v>
      </c>
      <c r="H101" s="96">
        <v>0.08</v>
      </c>
      <c r="I101" s="96">
        <v>19.059999999999999</v>
      </c>
      <c r="J101" s="96">
        <v>0.7</v>
      </c>
      <c r="K101" s="96">
        <v>0</v>
      </c>
      <c r="L101" s="96">
        <v>56.6</v>
      </c>
      <c r="M101" s="96">
        <v>68.56</v>
      </c>
      <c r="N101" s="96">
        <v>24.7</v>
      </c>
      <c r="O101" s="96">
        <v>0.91</v>
      </c>
    </row>
    <row r="102" spans="1:15" ht="17.100000000000001" customHeight="1" x14ac:dyDescent="0.3">
      <c r="A102" s="93"/>
      <c r="B102" s="94" t="s">
        <v>142</v>
      </c>
      <c r="C102" s="95">
        <v>200</v>
      </c>
      <c r="D102" s="19">
        <v>6.3000000000000014E-2</v>
      </c>
      <c r="E102" s="19">
        <v>1.8000000000000002E-2</v>
      </c>
      <c r="F102" s="19">
        <f>10.4</f>
        <v>10.4</v>
      </c>
      <c r="G102" s="19">
        <v>35.5</v>
      </c>
      <c r="H102" s="19">
        <v>0</v>
      </c>
      <c r="I102" s="19">
        <v>2.7E-2</v>
      </c>
      <c r="J102" s="19">
        <v>0</v>
      </c>
      <c r="K102" s="19">
        <v>0</v>
      </c>
      <c r="L102" s="19">
        <v>11.1</v>
      </c>
      <c r="M102" s="19">
        <v>2.8</v>
      </c>
      <c r="N102" s="19">
        <v>1.4</v>
      </c>
      <c r="O102" s="19">
        <f>12.1-0.045</f>
        <v>12.055</v>
      </c>
    </row>
    <row r="103" spans="1:15" ht="17.100000000000001" customHeight="1" x14ac:dyDescent="0.3">
      <c r="A103" s="93"/>
      <c r="B103" s="94" t="s">
        <v>94</v>
      </c>
      <c r="C103" s="95">
        <v>25</v>
      </c>
      <c r="D103" s="96">
        <v>1.6625000000000001</v>
      </c>
      <c r="E103" s="96">
        <v>0.3</v>
      </c>
      <c r="F103" s="96">
        <v>10.462499999999999</v>
      </c>
      <c r="G103" s="96">
        <v>51.2</v>
      </c>
      <c r="H103" s="96">
        <v>0.13124999999999998</v>
      </c>
      <c r="I103" s="96">
        <v>0.17499999999999996</v>
      </c>
      <c r="J103" s="96">
        <v>0</v>
      </c>
      <c r="K103" s="96">
        <v>0.13124999999999998</v>
      </c>
      <c r="L103" s="96">
        <v>31.937499999999996</v>
      </c>
      <c r="M103" s="96">
        <v>54.6875</v>
      </c>
      <c r="N103" s="96">
        <v>17.5</v>
      </c>
      <c r="O103" s="96">
        <v>1.2249999999999999</v>
      </c>
    </row>
    <row r="104" spans="1:15" ht="17.100000000000001" customHeight="1" x14ac:dyDescent="0.3">
      <c r="A104" s="140"/>
      <c r="B104" s="94" t="s">
        <v>84</v>
      </c>
      <c r="C104" s="95">
        <v>40</v>
      </c>
      <c r="D104" s="96">
        <f>1.35*2</f>
        <v>2.7</v>
      </c>
      <c r="E104" s="96">
        <f>0.172*2</f>
        <v>0.34399999999999997</v>
      </c>
      <c r="F104" s="96">
        <f>10.03*2</f>
        <v>20.059999999999999</v>
      </c>
      <c r="G104" s="96">
        <f t="shared" ref="G104" si="20">F104*4+E104*9+D104*4</f>
        <v>94.135999999999996</v>
      </c>
      <c r="H104" s="96">
        <v>2.4E-2</v>
      </c>
      <c r="I104" s="96">
        <v>0</v>
      </c>
      <c r="J104" s="96">
        <v>0</v>
      </c>
      <c r="K104" s="96">
        <v>0.42</v>
      </c>
      <c r="L104" s="96">
        <v>8</v>
      </c>
      <c r="M104" s="96">
        <v>26</v>
      </c>
      <c r="N104" s="96">
        <v>5.6</v>
      </c>
      <c r="O104" s="96">
        <v>0.4</v>
      </c>
    </row>
    <row r="105" spans="1:15" ht="17.100000000000001" customHeight="1" x14ac:dyDescent="0.3">
      <c r="A105" s="93"/>
      <c r="B105" s="94" t="s">
        <v>143</v>
      </c>
      <c r="C105" s="95">
        <v>200</v>
      </c>
      <c r="D105" s="96">
        <v>1.0015060240963856</v>
      </c>
      <c r="E105" s="96">
        <v>0</v>
      </c>
      <c r="F105" s="96">
        <v>20.23042168674699</v>
      </c>
      <c r="G105" s="96">
        <v>84.927710843373504</v>
      </c>
      <c r="H105" s="96">
        <v>2.0030120481927715E-2</v>
      </c>
      <c r="I105" s="96">
        <v>4.0060240963855422</v>
      </c>
      <c r="J105" s="96">
        <v>0</v>
      </c>
      <c r="K105" s="96">
        <v>0.20030120481927713</v>
      </c>
      <c r="L105" s="96">
        <v>14.021084337349398</v>
      </c>
      <c r="M105" s="96">
        <v>14.021084337349398</v>
      </c>
      <c r="N105" s="96">
        <v>8.0120481927710845</v>
      </c>
      <c r="O105" s="96">
        <v>2.8042168674698797</v>
      </c>
    </row>
    <row r="106" spans="1:15" ht="17.100000000000001" customHeight="1" x14ac:dyDescent="0.3">
      <c r="A106" s="100"/>
      <c r="B106" s="101" t="s">
        <v>86</v>
      </c>
      <c r="C106" s="102">
        <f>SUM(C99:C105)</f>
        <v>755</v>
      </c>
      <c r="D106" s="103">
        <f t="shared" ref="D106:O106" si="21">SUM(D99:D105)</f>
        <v>15.686538734376761</v>
      </c>
      <c r="E106" s="103">
        <f t="shared" si="21"/>
        <v>15.114523364485983</v>
      </c>
      <c r="F106" s="103">
        <f t="shared" si="21"/>
        <v>82.62656654656007</v>
      </c>
      <c r="G106" s="103">
        <f t="shared" si="21"/>
        <v>630.90913140412113</v>
      </c>
      <c r="H106" s="103">
        <f t="shared" si="21"/>
        <v>0.35939227001463797</v>
      </c>
      <c r="I106" s="103">
        <f t="shared" si="21"/>
        <v>26.334192320684608</v>
      </c>
      <c r="J106" s="103">
        <f t="shared" si="21"/>
        <v>0.79999999999999993</v>
      </c>
      <c r="K106" s="103">
        <f t="shared" si="21"/>
        <v>1.2321119524828286</v>
      </c>
      <c r="L106" s="103">
        <f t="shared" si="21"/>
        <v>152.43802358968586</v>
      </c>
      <c r="M106" s="103">
        <f t="shared" si="21"/>
        <v>271.65736938407838</v>
      </c>
      <c r="N106" s="103">
        <f t="shared" si="21"/>
        <v>81.967188379686974</v>
      </c>
      <c r="O106" s="103">
        <f t="shared" si="21"/>
        <v>18.881132755320344</v>
      </c>
    </row>
    <row r="107" spans="1:15" ht="17.100000000000001" customHeight="1" x14ac:dyDescent="0.3">
      <c r="A107" s="318" t="s">
        <v>22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</row>
    <row r="108" spans="1:15" ht="17.100000000000001" customHeight="1" x14ac:dyDescent="0.3">
      <c r="A108" s="136" t="s">
        <v>144</v>
      </c>
      <c r="B108" s="134" t="s">
        <v>145</v>
      </c>
      <c r="C108" s="135">
        <v>250</v>
      </c>
      <c r="D108" s="112">
        <v>1.59</v>
      </c>
      <c r="E108" s="112">
        <v>4.99</v>
      </c>
      <c r="F108" s="112">
        <v>9.15</v>
      </c>
      <c r="G108" s="112">
        <f>D108*4+E108*9+F108*4</f>
        <v>87.87</v>
      </c>
      <c r="H108" s="112">
        <v>7.0000000000000007E-2</v>
      </c>
      <c r="I108" s="112">
        <v>10.38</v>
      </c>
      <c r="J108" s="112">
        <v>0</v>
      </c>
      <c r="K108" s="112">
        <v>0.3</v>
      </c>
      <c r="L108" s="112">
        <v>34.85</v>
      </c>
      <c r="M108" s="112">
        <v>49.28</v>
      </c>
      <c r="N108" s="112">
        <v>20.75</v>
      </c>
      <c r="O108" s="114">
        <v>0.78</v>
      </c>
    </row>
    <row r="109" spans="1:15" ht="17.100000000000001" customHeight="1" x14ac:dyDescent="0.3">
      <c r="A109" s="144">
        <v>211</v>
      </c>
      <c r="B109" s="105" t="s">
        <v>146</v>
      </c>
      <c r="C109" s="106">
        <v>140</v>
      </c>
      <c r="D109" s="107">
        <v>19.12</v>
      </c>
      <c r="E109" s="107">
        <v>25.38</v>
      </c>
      <c r="F109" s="107">
        <v>2.72</v>
      </c>
      <c r="G109" s="112">
        <f t="shared" ref="G109:G114" si="22">D109*4+E109*9+F109*4</f>
        <v>315.77999999999997</v>
      </c>
      <c r="H109" s="107">
        <v>0.106</v>
      </c>
      <c r="I109" s="107">
        <v>0.34</v>
      </c>
      <c r="J109" s="107">
        <v>3.8719999999999999</v>
      </c>
      <c r="K109" s="112">
        <f>1.2*1.4</f>
        <v>1.68</v>
      </c>
      <c r="L109" s="107">
        <v>278.93</v>
      </c>
      <c r="M109" s="107">
        <v>333.06</v>
      </c>
      <c r="N109" s="107">
        <v>23.28</v>
      </c>
      <c r="O109" s="127">
        <v>2.93</v>
      </c>
    </row>
    <row r="110" spans="1:15" ht="17.100000000000001" customHeight="1" x14ac:dyDescent="0.3">
      <c r="A110" s="136"/>
      <c r="B110" s="105" t="s">
        <v>147</v>
      </c>
      <c r="C110" s="106">
        <v>60</v>
      </c>
      <c r="D110" s="112">
        <v>1.73</v>
      </c>
      <c r="E110" s="112">
        <v>1.63</v>
      </c>
      <c r="F110" s="112">
        <v>3.47</v>
      </c>
      <c r="G110" s="112">
        <f t="shared" si="22"/>
        <v>35.47</v>
      </c>
      <c r="H110" s="112">
        <v>3.4000000000000002E-2</v>
      </c>
      <c r="I110" s="112">
        <v>5.82</v>
      </c>
      <c r="J110" s="112">
        <v>0.08</v>
      </c>
      <c r="K110" s="112">
        <v>0</v>
      </c>
      <c r="L110" s="112">
        <v>14.35</v>
      </c>
      <c r="M110" s="112">
        <v>36.700000000000003</v>
      </c>
      <c r="N110" s="112">
        <v>12.1</v>
      </c>
      <c r="O110" s="114">
        <v>0.42</v>
      </c>
    </row>
    <row r="111" spans="1:15" ht="17.100000000000001" customHeight="1" x14ac:dyDescent="0.3">
      <c r="A111" s="108"/>
      <c r="B111" s="109" t="s">
        <v>148</v>
      </c>
      <c r="C111" s="110">
        <v>180</v>
      </c>
      <c r="D111" s="111">
        <v>4.37</v>
      </c>
      <c r="E111" s="111">
        <f>2.7*1.8</f>
        <v>4.8600000000000003</v>
      </c>
      <c r="F111" s="111">
        <v>7.1749999999999998</v>
      </c>
      <c r="G111" s="111">
        <f>D111*4+E111*9+F111*4</f>
        <v>89.92</v>
      </c>
      <c r="H111" s="111">
        <v>3.5000000000000003E-2</v>
      </c>
      <c r="I111" s="111">
        <v>0.52</v>
      </c>
      <c r="J111" s="111">
        <v>0.35</v>
      </c>
      <c r="K111" s="111">
        <v>0</v>
      </c>
      <c r="L111" s="111">
        <v>217</v>
      </c>
      <c r="M111" s="111">
        <v>57.96</v>
      </c>
      <c r="N111" s="111">
        <v>24.5</v>
      </c>
      <c r="O111" s="111">
        <v>0.17499999999999999</v>
      </c>
    </row>
    <row r="112" spans="1:15" ht="17.100000000000001" customHeight="1" x14ac:dyDescent="0.3">
      <c r="A112" s="145"/>
      <c r="B112" s="109" t="s">
        <v>93</v>
      </c>
      <c r="C112" s="110">
        <v>40</v>
      </c>
      <c r="D112" s="139">
        <v>2.7</v>
      </c>
      <c r="E112" s="139">
        <v>0.34</v>
      </c>
      <c r="F112" s="139">
        <v>20.059999999999999</v>
      </c>
      <c r="G112" s="112">
        <f>D112*4+E112*9+F112*4</f>
        <v>94.1</v>
      </c>
      <c r="H112" s="139">
        <v>0.04</v>
      </c>
      <c r="I112" s="139">
        <v>0</v>
      </c>
      <c r="J112" s="139">
        <v>0</v>
      </c>
      <c r="K112" s="139">
        <v>0.44</v>
      </c>
      <c r="L112" s="139">
        <v>8</v>
      </c>
      <c r="M112" s="139">
        <v>26</v>
      </c>
      <c r="N112" s="139">
        <v>5.6</v>
      </c>
      <c r="O112" s="139">
        <v>0.44</v>
      </c>
    </row>
    <row r="113" spans="1:15" ht="17.100000000000001" customHeight="1" x14ac:dyDescent="0.3">
      <c r="A113" s="108"/>
      <c r="B113" s="109" t="s">
        <v>94</v>
      </c>
      <c r="C113" s="110">
        <v>20</v>
      </c>
      <c r="D113" s="112">
        <v>1.33</v>
      </c>
      <c r="E113" s="112">
        <v>0.24</v>
      </c>
      <c r="F113" s="112">
        <v>8.3699999999999992</v>
      </c>
      <c r="G113" s="112">
        <f>D113*4+E113*9+F113*4</f>
        <v>40.959999999999994</v>
      </c>
      <c r="H113" s="112">
        <v>0.11</v>
      </c>
      <c r="I113" s="112">
        <v>0.14000000000000001</v>
      </c>
      <c r="J113" s="112">
        <v>0</v>
      </c>
      <c r="K113" s="112">
        <v>0.11</v>
      </c>
      <c r="L113" s="112">
        <v>25.55</v>
      </c>
      <c r="M113" s="112">
        <v>43.75</v>
      </c>
      <c r="N113" s="112">
        <v>14</v>
      </c>
      <c r="O113" s="114">
        <v>0.98</v>
      </c>
    </row>
    <row r="114" spans="1:15" ht="17.100000000000001" customHeight="1" x14ac:dyDescent="0.3">
      <c r="A114" s="136"/>
      <c r="B114" s="105" t="s">
        <v>115</v>
      </c>
      <c r="C114" s="106">
        <v>200</v>
      </c>
      <c r="D114" s="19">
        <v>1</v>
      </c>
      <c r="E114" s="19">
        <v>0</v>
      </c>
      <c r="F114" s="19">
        <v>20.200000000000003</v>
      </c>
      <c r="G114" s="112">
        <f t="shared" si="22"/>
        <v>84.800000000000011</v>
      </c>
      <c r="H114" s="19">
        <v>2.2000000000000002E-2</v>
      </c>
      <c r="I114" s="19">
        <v>4</v>
      </c>
      <c r="J114" s="19">
        <v>0</v>
      </c>
      <c r="K114" s="19">
        <v>0.2</v>
      </c>
      <c r="L114" s="19">
        <v>14</v>
      </c>
      <c r="M114" s="19">
        <v>14</v>
      </c>
      <c r="N114" s="19">
        <v>8</v>
      </c>
      <c r="O114" s="19">
        <v>2.8000000000000003</v>
      </c>
    </row>
    <row r="115" spans="1:15" ht="17.100000000000001" customHeight="1" x14ac:dyDescent="0.3">
      <c r="A115" s="128"/>
      <c r="B115" s="129" t="s">
        <v>95</v>
      </c>
      <c r="C115" s="130">
        <f t="shared" ref="C115:O115" si="23">SUM(C108:C114)</f>
        <v>890</v>
      </c>
      <c r="D115" s="131">
        <f t="shared" si="23"/>
        <v>31.840000000000003</v>
      </c>
      <c r="E115" s="131">
        <f t="shared" si="23"/>
        <v>37.440000000000005</v>
      </c>
      <c r="F115" s="131">
        <f t="shared" si="23"/>
        <v>71.14500000000001</v>
      </c>
      <c r="G115" s="131">
        <f t="shared" si="23"/>
        <v>748.90000000000009</v>
      </c>
      <c r="H115" s="131">
        <f t="shared" si="23"/>
        <v>0.41699999999999998</v>
      </c>
      <c r="I115" s="131">
        <f t="shared" si="23"/>
        <v>21.2</v>
      </c>
      <c r="J115" s="131">
        <f t="shared" si="23"/>
        <v>4.3019999999999996</v>
      </c>
      <c r="K115" s="131">
        <f t="shared" si="23"/>
        <v>2.73</v>
      </c>
      <c r="L115" s="131">
        <f t="shared" si="23"/>
        <v>592.68000000000006</v>
      </c>
      <c r="M115" s="131">
        <f t="shared" si="23"/>
        <v>560.75</v>
      </c>
      <c r="N115" s="131">
        <f t="shared" si="23"/>
        <v>108.22999999999999</v>
      </c>
      <c r="O115" s="131">
        <f t="shared" si="23"/>
        <v>8.5250000000000004</v>
      </c>
    </row>
    <row r="116" spans="1:15" ht="17.100000000000001" customHeight="1" x14ac:dyDescent="0.3">
      <c r="A116" s="322" t="s">
        <v>149</v>
      </c>
      <c r="B116" s="324"/>
      <c r="C116" s="119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</row>
    <row r="117" spans="1:15" ht="17.100000000000001" customHeight="1" x14ac:dyDescent="0.3">
      <c r="A117" s="318" t="s">
        <v>97</v>
      </c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</row>
    <row r="118" spans="1:15" ht="17.100000000000001" customHeight="1" x14ac:dyDescent="0.3">
      <c r="A118" s="93"/>
      <c r="B118" s="94" t="s">
        <v>132</v>
      </c>
      <c r="C118" s="95">
        <v>70</v>
      </c>
      <c r="D118" s="96">
        <v>0.48719999999999997</v>
      </c>
      <c r="E118" s="96">
        <v>6.9599999999999995E-2</v>
      </c>
      <c r="F118" s="96">
        <v>1.3223999999999998</v>
      </c>
      <c r="G118" s="96">
        <f>F118*4+E118*9+D118*4</f>
        <v>7.8647999999999989</v>
      </c>
      <c r="H118" s="96">
        <v>2.3199999999999998E-2</v>
      </c>
      <c r="I118" s="96">
        <v>3.4103999999999997</v>
      </c>
      <c r="J118" s="96">
        <v>0</v>
      </c>
      <c r="K118" s="96">
        <v>6.9599999999999995E-2</v>
      </c>
      <c r="L118" s="96">
        <v>11.831999999999999</v>
      </c>
      <c r="M118" s="96">
        <v>20.88</v>
      </c>
      <c r="N118" s="96">
        <v>9.7439999999999998</v>
      </c>
      <c r="O118" s="96">
        <v>0.34799999999999998</v>
      </c>
    </row>
    <row r="119" spans="1:15" ht="17.100000000000001" customHeight="1" x14ac:dyDescent="0.3">
      <c r="A119" s="93">
        <v>235</v>
      </c>
      <c r="B119" s="94" t="s">
        <v>150</v>
      </c>
      <c r="C119" s="95">
        <v>75</v>
      </c>
      <c r="D119" s="19">
        <v>7.66</v>
      </c>
      <c r="E119" s="19">
        <v>5.3</v>
      </c>
      <c r="F119" s="19">
        <v>5.8</v>
      </c>
      <c r="G119" s="96">
        <f t="shared" ref="G119:G124" si="24">F119*4+E119*9+D119*4</f>
        <v>101.53999999999999</v>
      </c>
      <c r="H119" s="19">
        <f>0.036*0.875</f>
        <v>3.15E-2</v>
      </c>
      <c r="I119" s="19">
        <v>2.2599999999999998</v>
      </c>
      <c r="J119" s="19">
        <v>0.17</v>
      </c>
      <c r="K119" s="19">
        <v>3.11</v>
      </c>
      <c r="L119" s="19">
        <v>43.8</v>
      </c>
      <c r="M119" s="19">
        <v>115.9</v>
      </c>
      <c r="N119" s="19">
        <v>17.149999999999999</v>
      </c>
      <c r="O119" s="19">
        <v>1.48</v>
      </c>
    </row>
    <row r="120" spans="1:15" ht="17.100000000000001" customHeight="1" x14ac:dyDescent="0.3">
      <c r="A120" s="93">
        <v>310</v>
      </c>
      <c r="B120" s="94" t="s">
        <v>151</v>
      </c>
      <c r="C120" s="95">
        <v>170</v>
      </c>
      <c r="D120" s="96">
        <v>3.3205</v>
      </c>
      <c r="E120" s="96">
        <v>4.8815999999999997</v>
      </c>
      <c r="F120" s="96">
        <v>26.001300000000001</v>
      </c>
      <c r="G120" s="96">
        <f t="shared" si="24"/>
        <v>161.2216</v>
      </c>
      <c r="H120" s="96">
        <v>0.16949999999999998</v>
      </c>
      <c r="I120" s="96">
        <v>23.729999999999997</v>
      </c>
      <c r="J120" s="96">
        <v>0</v>
      </c>
      <c r="K120" s="96">
        <v>0.22599999999999998</v>
      </c>
      <c r="L120" s="96">
        <v>62.036999999999992</v>
      </c>
      <c r="M120" s="96">
        <v>90.060999999999993</v>
      </c>
      <c r="N120" s="96">
        <v>33.108999999999995</v>
      </c>
      <c r="O120" s="96">
        <v>1.2994999999999999</v>
      </c>
    </row>
    <row r="121" spans="1:15" ht="17.100000000000001" customHeight="1" x14ac:dyDescent="0.3">
      <c r="A121" s="93" t="s">
        <v>100</v>
      </c>
      <c r="B121" s="94" t="s">
        <v>152</v>
      </c>
      <c r="C121" s="95">
        <v>200</v>
      </c>
      <c r="D121" s="96">
        <v>1.04</v>
      </c>
      <c r="E121" s="96">
        <v>0.6</v>
      </c>
      <c r="F121" s="96">
        <v>10.199999999999999</v>
      </c>
      <c r="G121" s="96">
        <f t="shared" si="24"/>
        <v>50.36</v>
      </c>
      <c r="H121" s="96">
        <v>0.2</v>
      </c>
      <c r="I121" s="96">
        <v>8</v>
      </c>
      <c r="J121" s="96">
        <v>1E-3</v>
      </c>
      <c r="K121" s="96">
        <v>11</v>
      </c>
      <c r="L121" s="96">
        <v>32</v>
      </c>
      <c r="M121" s="96">
        <v>29</v>
      </c>
      <c r="N121" s="96">
        <v>21</v>
      </c>
      <c r="O121" s="96">
        <v>6.4</v>
      </c>
    </row>
    <row r="122" spans="1:15" ht="17.100000000000001" customHeight="1" x14ac:dyDescent="0.3">
      <c r="A122" s="140"/>
      <c r="B122" s="94" t="s">
        <v>84</v>
      </c>
      <c r="C122" s="95">
        <v>40</v>
      </c>
      <c r="D122" s="96">
        <f>1.35*2</f>
        <v>2.7</v>
      </c>
      <c r="E122" s="96">
        <f>0.172*2</f>
        <v>0.34399999999999997</v>
      </c>
      <c r="F122" s="96">
        <f>10.03*2</f>
        <v>20.059999999999999</v>
      </c>
      <c r="G122" s="96">
        <f t="shared" si="24"/>
        <v>94.135999999999996</v>
      </c>
      <c r="H122" s="96">
        <v>2.4E-2</v>
      </c>
      <c r="I122" s="96">
        <v>0</v>
      </c>
      <c r="J122" s="96">
        <v>0</v>
      </c>
      <c r="K122" s="96">
        <v>0.42</v>
      </c>
      <c r="L122" s="96">
        <v>8</v>
      </c>
      <c r="M122" s="96">
        <v>26</v>
      </c>
      <c r="N122" s="96">
        <v>5.6</v>
      </c>
      <c r="O122" s="96">
        <v>0.4</v>
      </c>
    </row>
    <row r="123" spans="1:15" ht="17.100000000000001" customHeight="1" x14ac:dyDescent="0.3">
      <c r="A123" s="93"/>
      <c r="B123" s="94" t="s">
        <v>94</v>
      </c>
      <c r="C123" s="95">
        <v>25</v>
      </c>
      <c r="D123" s="96">
        <v>1.6625000000000001</v>
      </c>
      <c r="E123" s="96">
        <v>0.3</v>
      </c>
      <c r="F123" s="96">
        <v>10.462499999999999</v>
      </c>
      <c r="G123" s="96">
        <f t="shared" si="24"/>
        <v>51.199999999999996</v>
      </c>
      <c r="H123" s="96">
        <v>0.13124999999999998</v>
      </c>
      <c r="I123" s="96">
        <v>0.17499999999999996</v>
      </c>
      <c r="J123" s="96">
        <v>0</v>
      </c>
      <c r="K123" s="96">
        <v>0.13124999999999998</v>
      </c>
      <c r="L123" s="96">
        <v>31.937499999999996</v>
      </c>
      <c r="M123" s="96">
        <v>54.6875</v>
      </c>
      <c r="N123" s="96">
        <v>17.5</v>
      </c>
      <c r="O123" s="96">
        <v>1.2249999999999999</v>
      </c>
    </row>
    <row r="124" spans="1:15" ht="17.100000000000001" customHeight="1" x14ac:dyDescent="0.3">
      <c r="A124" s="93"/>
      <c r="B124" s="94" t="s">
        <v>153</v>
      </c>
      <c r="C124" s="95">
        <v>150</v>
      </c>
      <c r="D124" s="96">
        <v>0.75301204819277112</v>
      </c>
      <c r="E124" s="96">
        <v>0</v>
      </c>
      <c r="F124" s="96">
        <v>15.210843373493976</v>
      </c>
      <c r="G124" s="96">
        <f t="shared" si="24"/>
        <v>63.855421686746986</v>
      </c>
      <c r="H124" s="96">
        <v>1.5060240963855423E-2</v>
      </c>
      <c r="I124" s="96">
        <v>3.0120481927710845</v>
      </c>
      <c r="J124" s="96">
        <v>0</v>
      </c>
      <c r="K124" s="96">
        <v>0.15060240963855423</v>
      </c>
      <c r="L124" s="96">
        <v>10.542168674698795</v>
      </c>
      <c r="M124" s="96">
        <v>10.542168674698795</v>
      </c>
      <c r="N124" s="96">
        <v>6.024096385542169</v>
      </c>
      <c r="O124" s="96">
        <v>2.1084337349397591</v>
      </c>
    </row>
    <row r="125" spans="1:15" ht="17.100000000000001" customHeight="1" x14ac:dyDescent="0.3">
      <c r="A125" s="100"/>
      <c r="B125" s="101" t="s">
        <v>86</v>
      </c>
      <c r="C125" s="102">
        <f>SUM(C118:C124)</f>
        <v>730</v>
      </c>
      <c r="D125" s="103">
        <f t="shared" ref="D125:O125" si="25">SUM(D118:D124)</f>
        <v>17.623212048192773</v>
      </c>
      <c r="E125" s="103">
        <f t="shared" si="25"/>
        <v>11.495200000000001</v>
      </c>
      <c r="F125" s="103">
        <f t="shared" si="25"/>
        <v>89.057043373493983</v>
      </c>
      <c r="G125" s="103">
        <f t="shared" si="25"/>
        <v>530.17782168674694</v>
      </c>
      <c r="H125" s="103">
        <f t="shared" si="25"/>
        <v>0.59451024096385541</v>
      </c>
      <c r="I125" s="103">
        <f t="shared" si="25"/>
        <v>40.587448192771078</v>
      </c>
      <c r="J125" s="103">
        <f t="shared" si="25"/>
        <v>0.17100000000000001</v>
      </c>
      <c r="K125" s="103">
        <f t="shared" si="25"/>
        <v>15.107452409638553</v>
      </c>
      <c r="L125" s="103">
        <f t="shared" si="25"/>
        <v>200.14866867469877</v>
      </c>
      <c r="M125" s="103">
        <f t="shared" si="25"/>
        <v>347.07066867469882</v>
      </c>
      <c r="N125" s="103">
        <f t="shared" si="25"/>
        <v>110.12709638554215</v>
      </c>
      <c r="O125" s="103">
        <f t="shared" si="25"/>
        <v>13.260933734939758</v>
      </c>
    </row>
    <row r="126" spans="1:15" ht="17.100000000000001" customHeight="1" x14ac:dyDescent="0.3">
      <c r="A126" s="318" t="s">
        <v>22</v>
      </c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</row>
    <row r="127" spans="1:15" ht="17.100000000000001" customHeight="1" x14ac:dyDescent="0.3">
      <c r="A127" s="145">
        <v>81</v>
      </c>
      <c r="B127" s="109" t="s">
        <v>154</v>
      </c>
      <c r="C127" s="110">
        <v>250</v>
      </c>
      <c r="D127" s="107">
        <v>1.6</v>
      </c>
      <c r="E127" s="107">
        <v>4.8600000000000003</v>
      </c>
      <c r="F127" s="107">
        <v>8.56</v>
      </c>
      <c r="G127" s="107">
        <f>D127*4+E127*9+F127*4</f>
        <v>84.38</v>
      </c>
      <c r="H127" s="107">
        <v>0.03</v>
      </c>
      <c r="I127" s="107">
        <v>10.93</v>
      </c>
      <c r="J127" s="107">
        <v>0</v>
      </c>
      <c r="K127" s="107">
        <v>0.5</v>
      </c>
      <c r="L127" s="107">
        <v>52.53</v>
      </c>
      <c r="M127" s="107">
        <v>46.1</v>
      </c>
      <c r="N127" s="107">
        <v>23.13</v>
      </c>
      <c r="O127" s="127">
        <v>1.1000000000000001</v>
      </c>
    </row>
    <row r="128" spans="1:15" ht="17.100000000000001" customHeight="1" x14ac:dyDescent="0.3">
      <c r="A128" s="108" t="s">
        <v>155</v>
      </c>
      <c r="B128" s="138" t="s">
        <v>156</v>
      </c>
      <c r="C128" s="116">
        <v>80</v>
      </c>
      <c r="D128" s="107">
        <f>5.29+0.57</f>
        <v>5.86</v>
      </c>
      <c r="E128" s="107">
        <f>14.8+1.51</f>
        <v>16.310000000000002</v>
      </c>
      <c r="F128" s="107">
        <f>1.28+1.79</f>
        <v>3.0700000000000003</v>
      </c>
      <c r="G128" s="107">
        <f t="shared" ref="G128:G133" si="26">D128*4+E128*9+F128*4</f>
        <v>182.51000000000002</v>
      </c>
      <c r="H128" s="107">
        <v>0.14000000000000001</v>
      </c>
      <c r="I128" s="107">
        <v>0.09</v>
      </c>
      <c r="J128" s="107">
        <v>0</v>
      </c>
      <c r="K128" s="107">
        <v>0.3</v>
      </c>
      <c r="L128" s="107">
        <v>9.5399999999999991</v>
      </c>
      <c r="M128" s="107">
        <v>63.38</v>
      </c>
      <c r="N128" s="107">
        <v>11.3</v>
      </c>
      <c r="O128" s="127">
        <v>0.745</v>
      </c>
    </row>
    <row r="129" spans="1:15" ht="17.100000000000001" customHeight="1" x14ac:dyDescent="0.3">
      <c r="A129" s="108"/>
      <c r="B129" s="109" t="s">
        <v>157</v>
      </c>
      <c r="C129" s="110">
        <v>155</v>
      </c>
      <c r="D129" s="107">
        <v>2.98</v>
      </c>
      <c r="E129" s="107">
        <v>6.12</v>
      </c>
      <c r="F129" s="107">
        <v>30.9</v>
      </c>
      <c r="G129" s="107">
        <f t="shared" si="26"/>
        <v>190.6</v>
      </c>
      <c r="H129" s="107">
        <v>2.5999999999999999E-2</v>
      </c>
      <c r="I129" s="107">
        <v>0</v>
      </c>
      <c r="J129" s="107">
        <v>0.31</v>
      </c>
      <c r="K129" s="107">
        <v>0.46</v>
      </c>
      <c r="L129" s="107">
        <v>13.42</v>
      </c>
      <c r="M129" s="107">
        <v>64.900000000000006</v>
      </c>
      <c r="N129" s="107">
        <v>21.97</v>
      </c>
      <c r="O129" s="127">
        <v>0.46</v>
      </c>
    </row>
    <row r="130" spans="1:15" ht="17.100000000000001" customHeight="1" x14ac:dyDescent="0.3">
      <c r="A130" s="136"/>
      <c r="B130" s="105" t="s">
        <v>158</v>
      </c>
      <c r="C130" s="106">
        <v>200</v>
      </c>
      <c r="D130" s="107">
        <v>0.68</v>
      </c>
      <c r="E130" s="107">
        <v>0.28000000000000003</v>
      </c>
      <c r="F130" s="107">
        <v>20.76</v>
      </c>
      <c r="G130" s="107">
        <f t="shared" si="26"/>
        <v>88.28</v>
      </c>
      <c r="H130" s="107">
        <v>0.01</v>
      </c>
      <c r="I130" s="107">
        <v>100</v>
      </c>
      <c r="J130" s="107">
        <v>0</v>
      </c>
      <c r="K130" s="107">
        <v>0</v>
      </c>
      <c r="L130" s="107">
        <v>21.34</v>
      </c>
      <c r="M130" s="107">
        <v>3.44</v>
      </c>
      <c r="N130" s="107">
        <v>3.44</v>
      </c>
      <c r="O130" s="127">
        <v>0.63400000000000001</v>
      </c>
    </row>
    <row r="131" spans="1:15" ht="17.100000000000001" customHeight="1" x14ac:dyDescent="0.3">
      <c r="A131" s="108"/>
      <c r="B131" s="109" t="s">
        <v>91</v>
      </c>
      <c r="C131" s="110">
        <v>200</v>
      </c>
      <c r="D131" s="146">
        <v>0.64</v>
      </c>
      <c r="E131" s="146">
        <v>0.64</v>
      </c>
      <c r="F131" s="146">
        <v>15.68</v>
      </c>
      <c r="G131" s="19">
        <f>D131*4+E131*9+F131*4</f>
        <v>71.039999999999992</v>
      </c>
      <c r="H131" s="111">
        <v>0.05</v>
      </c>
      <c r="I131" s="111">
        <v>16</v>
      </c>
      <c r="J131" s="111">
        <v>0</v>
      </c>
      <c r="K131" s="111">
        <v>0.2</v>
      </c>
      <c r="L131" s="111">
        <v>25.6</v>
      </c>
      <c r="M131" s="111">
        <v>17.600000000000001</v>
      </c>
      <c r="N131" s="111">
        <v>14.4</v>
      </c>
      <c r="O131" s="111">
        <v>3.52</v>
      </c>
    </row>
    <row r="132" spans="1:15" ht="17.100000000000001" customHeight="1" x14ac:dyDescent="0.3">
      <c r="A132" s="115"/>
      <c r="B132" s="109" t="s">
        <v>93</v>
      </c>
      <c r="C132" s="116">
        <v>60</v>
      </c>
      <c r="D132" s="139">
        <v>4.05</v>
      </c>
      <c r="E132" s="139">
        <v>0.51</v>
      </c>
      <c r="F132" s="139">
        <v>30.09</v>
      </c>
      <c r="G132" s="107">
        <f t="shared" si="26"/>
        <v>141.15</v>
      </c>
      <c r="H132" s="139">
        <v>0.06</v>
      </c>
      <c r="I132" s="139">
        <v>0</v>
      </c>
      <c r="J132" s="139">
        <v>0</v>
      </c>
      <c r="K132" s="139">
        <v>0.66</v>
      </c>
      <c r="L132" s="139">
        <v>12</v>
      </c>
      <c r="M132" s="139">
        <v>39</v>
      </c>
      <c r="N132" s="139">
        <v>8.4</v>
      </c>
      <c r="O132" s="139">
        <v>0.66</v>
      </c>
    </row>
    <row r="133" spans="1:15" ht="17.100000000000001" customHeight="1" x14ac:dyDescent="0.3">
      <c r="A133" s="108"/>
      <c r="B133" s="109" t="s">
        <v>94</v>
      </c>
      <c r="C133" s="110">
        <v>20</v>
      </c>
      <c r="D133" s="112">
        <v>1.33</v>
      </c>
      <c r="E133" s="112">
        <v>0.24</v>
      </c>
      <c r="F133" s="112">
        <v>8.3699999999999992</v>
      </c>
      <c r="G133" s="107">
        <f t="shared" si="26"/>
        <v>40.959999999999994</v>
      </c>
      <c r="H133" s="112">
        <v>0.11</v>
      </c>
      <c r="I133" s="112">
        <v>0.14000000000000001</v>
      </c>
      <c r="J133" s="112">
        <v>0</v>
      </c>
      <c r="K133" s="112">
        <v>0.11</v>
      </c>
      <c r="L133" s="112">
        <v>25.55</v>
      </c>
      <c r="M133" s="112">
        <v>43.75</v>
      </c>
      <c r="N133" s="112">
        <v>14</v>
      </c>
      <c r="O133" s="114">
        <v>0.98</v>
      </c>
    </row>
    <row r="134" spans="1:15" ht="17.100000000000001" customHeight="1" x14ac:dyDescent="0.3">
      <c r="A134" s="128"/>
      <c r="B134" s="129" t="s">
        <v>95</v>
      </c>
      <c r="C134" s="130">
        <f>SUM(C127:C133)</f>
        <v>965</v>
      </c>
      <c r="D134" s="131">
        <f>SUM(D127:D133)</f>
        <v>17.14</v>
      </c>
      <c r="E134" s="131">
        <f t="shared" ref="E134:O134" si="27">SUM(E127:E133)</f>
        <v>28.960000000000004</v>
      </c>
      <c r="F134" s="131">
        <f t="shared" si="27"/>
        <v>117.43</v>
      </c>
      <c r="G134" s="131">
        <f t="shared" si="27"/>
        <v>798.92</v>
      </c>
      <c r="H134" s="131">
        <f t="shared" si="27"/>
        <v>0.42599999999999999</v>
      </c>
      <c r="I134" s="131">
        <f t="shared" si="27"/>
        <v>127.16</v>
      </c>
      <c r="J134" s="131">
        <f t="shared" si="27"/>
        <v>0.31</v>
      </c>
      <c r="K134" s="131">
        <f t="shared" si="27"/>
        <v>2.23</v>
      </c>
      <c r="L134" s="131">
        <f t="shared" si="27"/>
        <v>159.98000000000002</v>
      </c>
      <c r="M134" s="131">
        <f t="shared" si="27"/>
        <v>278.16999999999996</v>
      </c>
      <c r="N134" s="131">
        <f t="shared" si="27"/>
        <v>96.64</v>
      </c>
      <c r="O134" s="131">
        <f t="shared" si="27"/>
        <v>8.0990000000000002</v>
      </c>
    </row>
    <row r="135" spans="1:15" ht="17.100000000000001" customHeight="1" x14ac:dyDescent="0.3">
      <c r="A135" s="322" t="s">
        <v>159</v>
      </c>
      <c r="B135" s="324"/>
      <c r="C135" s="119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</row>
    <row r="136" spans="1:15" ht="17.100000000000001" customHeight="1" x14ac:dyDescent="0.3">
      <c r="A136" s="318" t="s">
        <v>97</v>
      </c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</row>
    <row r="137" spans="1:15" ht="17.100000000000001" customHeight="1" x14ac:dyDescent="0.3">
      <c r="A137" s="93"/>
      <c r="B137" s="94" t="s">
        <v>160</v>
      </c>
      <c r="C137" s="95">
        <v>80</v>
      </c>
      <c r="D137" s="96">
        <v>0.55859999999999999</v>
      </c>
      <c r="E137" s="96">
        <v>7.9799999999999996E-2</v>
      </c>
      <c r="F137" s="96">
        <v>1.5162</v>
      </c>
      <c r="G137" s="96">
        <f>F137*4+E137*9+D137*4</f>
        <v>9.0173999999999985</v>
      </c>
      <c r="H137" s="96">
        <v>2.6600000000000002E-2</v>
      </c>
      <c r="I137" s="96">
        <v>3.9102000000000001</v>
      </c>
      <c r="J137" s="96">
        <v>0</v>
      </c>
      <c r="K137" s="96">
        <v>7.9799999999999996E-2</v>
      </c>
      <c r="L137" s="96">
        <v>13.565999999999999</v>
      </c>
      <c r="M137" s="96">
        <v>23.94</v>
      </c>
      <c r="N137" s="96">
        <v>11.172000000000001</v>
      </c>
      <c r="O137" s="96">
        <v>0.39900000000000002</v>
      </c>
    </row>
    <row r="138" spans="1:15" ht="17.100000000000001" customHeight="1" x14ac:dyDescent="0.3">
      <c r="A138" s="93">
        <v>278</v>
      </c>
      <c r="B138" s="94" t="s">
        <v>161</v>
      </c>
      <c r="C138" s="95">
        <v>60</v>
      </c>
      <c r="D138" s="107">
        <v>4.2699999999999996</v>
      </c>
      <c r="E138" s="107">
        <v>4.7699999999999996</v>
      </c>
      <c r="F138" s="107">
        <v>5.59</v>
      </c>
      <c r="G138" s="96">
        <f t="shared" ref="G138:G144" si="28">F138*4+E138*9+D138*4</f>
        <v>82.36999999999999</v>
      </c>
      <c r="H138" s="107">
        <v>0.02</v>
      </c>
      <c r="I138" s="107">
        <v>0.39</v>
      </c>
      <c r="J138" s="107">
        <v>0.18</v>
      </c>
      <c r="K138" s="107">
        <v>0</v>
      </c>
      <c r="L138" s="107">
        <v>15.2</v>
      </c>
      <c r="M138" s="107">
        <v>48.2</v>
      </c>
      <c r="N138" s="107">
        <v>9.99</v>
      </c>
      <c r="O138" s="107">
        <v>0.47</v>
      </c>
    </row>
    <row r="139" spans="1:15" ht="17.100000000000001" customHeight="1" x14ac:dyDescent="0.3">
      <c r="A139" s="132">
        <v>330</v>
      </c>
      <c r="B139" s="94" t="s">
        <v>162</v>
      </c>
      <c r="C139" s="95">
        <v>50</v>
      </c>
      <c r="D139" s="107">
        <v>0.7</v>
      </c>
      <c r="E139" s="107">
        <v>2.4900000000000002</v>
      </c>
      <c r="F139" s="107">
        <v>2.93</v>
      </c>
      <c r="G139" s="96">
        <f t="shared" si="28"/>
        <v>36.93</v>
      </c>
      <c r="H139" s="107">
        <v>0.01</v>
      </c>
      <c r="I139" s="107">
        <v>1.9E-2</v>
      </c>
      <c r="J139" s="107">
        <v>0.17</v>
      </c>
      <c r="K139" s="107">
        <v>0</v>
      </c>
      <c r="L139" s="107">
        <v>13.65</v>
      </c>
      <c r="M139" s="107">
        <v>11.36</v>
      </c>
      <c r="N139" s="107">
        <v>2.64</v>
      </c>
      <c r="O139" s="107">
        <v>0.1</v>
      </c>
    </row>
    <row r="140" spans="1:15" ht="17.100000000000001" customHeight="1" x14ac:dyDescent="0.3">
      <c r="A140" s="93">
        <v>302</v>
      </c>
      <c r="B140" s="94" t="s">
        <v>163</v>
      </c>
      <c r="C140" s="95">
        <v>155</v>
      </c>
      <c r="D140" s="19">
        <v>7.8</v>
      </c>
      <c r="E140" s="19">
        <v>3.6</v>
      </c>
      <c r="F140" s="19">
        <v>39</v>
      </c>
      <c r="G140" s="96">
        <f t="shared" si="28"/>
        <v>219.6</v>
      </c>
      <c r="H140" s="19">
        <v>0.18</v>
      </c>
      <c r="I140" s="19">
        <v>0</v>
      </c>
      <c r="J140" s="19">
        <v>0.35</v>
      </c>
      <c r="K140" s="19">
        <v>0.44</v>
      </c>
      <c r="L140" s="19">
        <v>23.55</v>
      </c>
      <c r="M140" s="19">
        <v>185.6</v>
      </c>
      <c r="N140" s="19">
        <v>123.9</v>
      </c>
      <c r="O140" s="19">
        <v>4.2</v>
      </c>
    </row>
    <row r="141" spans="1:15" ht="17.100000000000001" customHeight="1" x14ac:dyDescent="0.3">
      <c r="A141" s="93">
        <v>342</v>
      </c>
      <c r="B141" s="94" t="s">
        <v>101</v>
      </c>
      <c r="C141" s="95">
        <v>200</v>
      </c>
      <c r="D141" s="96">
        <v>0.6</v>
      </c>
      <c r="E141" s="96">
        <v>0.4</v>
      </c>
      <c r="F141" s="96">
        <v>10.4</v>
      </c>
      <c r="G141" s="96">
        <f t="shared" si="28"/>
        <v>47.6</v>
      </c>
      <c r="H141" s="96">
        <v>0.02</v>
      </c>
      <c r="I141" s="96">
        <v>3.4</v>
      </c>
      <c r="J141" s="96">
        <v>0</v>
      </c>
      <c r="K141" s="96">
        <v>0.4</v>
      </c>
      <c r="L141" s="96">
        <v>21.2</v>
      </c>
      <c r="M141" s="96">
        <v>22.6</v>
      </c>
      <c r="N141" s="96">
        <v>14.6</v>
      </c>
      <c r="O141" s="96">
        <v>3.2</v>
      </c>
    </row>
    <row r="142" spans="1:15" ht="17.100000000000001" customHeight="1" x14ac:dyDescent="0.3">
      <c r="A142" s="93"/>
      <c r="B142" s="94" t="s">
        <v>94</v>
      </c>
      <c r="C142" s="95">
        <v>25</v>
      </c>
      <c r="D142" s="96">
        <v>1.6625000000000001</v>
      </c>
      <c r="E142" s="96">
        <v>0.3</v>
      </c>
      <c r="F142" s="96">
        <v>10.462499999999999</v>
      </c>
      <c r="G142" s="96">
        <f t="shared" si="28"/>
        <v>51.199999999999996</v>
      </c>
      <c r="H142" s="96">
        <v>0.13124999999999998</v>
      </c>
      <c r="I142" s="96">
        <v>0.17499999999999996</v>
      </c>
      <c r="J142" s="96">
        <v>0</v>
      </c>
      <c r="K142" s="96">
        <v>0.13124999999999998</v>
      </c>
      <c r="L142" s="96">
        <v>31.937499999999996</v>
      </c>
      <c r="M142" s="96">
        <v>54.6875</v>
      </c>
      <c r="N142" s="96">
        <v>17.5</v>
      </c>
      <c r="O142" s="96">
        <v>1.2249999999999999</v>
      </c>
    </row>
    <row r="143" spans="1:15" ht="17.100000000000001" customHeight="1" x14ac:dyDescent="0.3">
      <c r="A143" s="140"/>
      <c r="B143" s="94" t="s">
        <v>84</v>
      </c>
      <c r="C143" s="95">
        <v>40</v>
      </c>
      <c r="D143" s="96">
        <f>1.35*2</f>
        <v>2.7</v>
      </c>
      <c r="E143" s="96">
        <f>0.172*2</f>
        <v>0.34399999999999997</v>
      </c>
      <c r="F143" s="96">
        <f>10.03*2</f>
        <v>20.059999999999999</v>
      </c>
      <c r="G143" s="96">
        <f t="shared" si="28"/>
        <v>94.135999999999996</v>
      </c>
      <c r="H143" s="96">
        <v>2.4E-2</v>
      </c>
      <c r="I143" s="96">
        <v>0</v>
      </c>
      <c r="J143" s="96">
        <v>0</v>
      </c>
      <c r="K143" s="96">
        <v>0.42</v>
      </c>
      <c r="L143" s="96">
        <v>8</v>
      </c>
      <c r="M143" s="96">
        <v>26</v>
      </c>
      <c r="N143" s="96">
        <v>5.6</v>
      </c>
      <c r="O143" s="96">
        <v>0.4</v>
      </c>
    </row>
    <row r="144" spans="1:15" ht="17.100000000000001" customHeight="1" x14ac:dyDescent="0.3">
      <c r="A144" s="147"/>
      <c r="B144" s="148" t="s">
        <v>164</v>
      </c>
      <c r="C144" s="149">
        <v>25</v>
      </c>
      <c r="D144" s="107">
        <f>7.5*0.25</f>
        <v>1.875</v>
      </c>
      <c r="E144" s="107">
        <f>18*0.25</f>
        <v>4.5</v>
      </c>
      <c r="F144" s="107">
        <f>67*0.25</f>
        <v>16.75</v>
      </c>
      <c r="G144" s="96">
        <f t="shared" si="28"/>
        <v>115</v>
      </c>
      <c r="H144" s="107">
        <v>0.03</v>
      </c>
      <c r="I144" s="107">
        <v>0</v>
      </c>
      <c r="J144" s="107">
        <v>0.2</v>
      </c>
      <c r="K144" s="107">
        <v>0</v>
      </c>
      <c r="L144" s="107">
        <v>7.24</v>
      </c>
      <c r="M144" s="107">
        <v>26.87</v>
      </c>
      <c r="N144" s="107">
        <v>5.5</v>
      </c>
      <c r="O144" s="107">
        <v>0.45</v>
      </c>
    </row>
    <row r="145" spans="1:15" ht="17.100000000000001" customHeight="1" x14ac:dyDescent="0.3">
      <c r="A145" s="100"/>
      <c r="B145" s="101" t="s">
        <v>86</v>
      </c>
      <c r="C145" s="102">
        <f>SUM(C137:C144)</f>
        <v>635</v>
      </c>
      <c r="D145" s="103">
        <f t="shared" ref="D145:O145" si="29">SUM(D137:D144)</f>
        <v>20.1661</v>
      </c>
      <c r="E145" s="103">
        <f t="shared" si="29"/>
        <v>16.483800000000002</v>
      </c>
      <c r="F145" s="103">
        <f t="shared" si="29"/>
        <v>106.70869999999999</v>
      </c>
      <c r="G145" s="103">
        <f t="shared" si="29"/>
        <v>655.85339999999997</v>
      </c>
      <c r="H145" s="103">
        <f t="shared" si="29"/>
        <v>0.44184999999999997</v>
      </c>
      <c r="I145" s="103">
        <f t="shared" si="29"/>
        <v>7.8942000000000005</v>
      </c>
      <c r="J145" s="103">
        <f t="shared" si="29"/>
        <v>0.89999999999999991</v>
      </c>
      <c r="K145" s="103">
        <f t="shared" si="29"/>
        <v>1.47105</v>
      </c>
      <c r="L145" s="103">
        <f t="shared" si="29"/>
        <v>134.34350000000001</v>
      </c>
      <c r="M145" s="103">
        <f t="shared" si="29"/>
        <v>399.25750000000005</v>
      </c>
      <c r="N145" s="103">
        <f t="shared" si="29"/>
        <v>190.90199999999999</v>
      </c>
      <c r="O145" s="103">
        <f t="shared" si="29"/>
        <v>10.443999999999999</v>
      </c>
    </row>
    <row r="146" spans="1:15" ht="17.100000000000001" customHeight="1" x14ac:dyDescent="0.3">
      <c r="A146" s="318" t="s">
        <v>22</v>
      </c>
      <c r="B146" s="327"/>
      <c r="C146" s="327"/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</row>
    <row r="147" spans="1:15" ht="17.100000000000001" customHeight="1" x14ac:dyDescent="0.3">
      <c r="A147" s="125"/>
      <c r="B147" s="109" t="s">
        <v>165</v>
      </c>
      <c r="C147" s="110">
        <v>60</v>
      </c>
      <c r="D147" s="19">
        <v>0.42</v>
      </c>
      <c r="E147" s="19">
        <v>0.06</v>
      </c>
      <c r="F147" s="19">
        <v>1.1399999999999999</v>
      </c>
      <c r="G147" s="19">
        <f>D147*4+E147*9+F147*4</f>
        <v>6.7799999999999994</v>
      </c>
      <c r="H147" s="19">
        <v>2.4E-2</v>
      </c>
      <c r="I147" s="19">
        <v>2.94</v>
      </c>
      <c r="J147" s="19">
        <v>0</v>
      </c>
      <c r="K147" s="19">
        <v>0</v>
      </c>
      <c r="L147" s="19">
        <v>10.199999999999999</v>
      </c>
      <c r="M147" s="19">
        <v>18</v>
      </c>
      <c r="N147" s="19">
        <v>8.4</v>
      </c>
      <c r="O147" s="19">
        <v>0.3</v>
      </c>
    </row>
    <row r="148" spans="1:15" ht="17.100000000000001" customHeight="1" x14ac:dyDescent="0.3">
      <c r="A148" s="150" t="s">
        <v>166</v>
      </c>
      <c r="B148" s="151" t="s">
        <v>167</v>
      </c>
      <c r="C148" s="135">
        <v>250</v>
      </c>
      <c r="D148" s="19">
        <v>2.38</v>
      </c>
      <c r="E148" s="19">
        <v>5.077</v>
      </c>
      <c r="F148" s="19">
        <v>12.9</v>
      </c>
      <c r="G148" s="19">
        <f t="shared" ref="G148:G153" si="30">D148*4+E148*9+F148*4</f>
        <v>106.81299999999999</v>
      </c>
      <c r="H148" s="19">
        <v>5.5E-2</v>
      </c>
      <c r="I148" s="19">
        <v>0.95</v>
      </c>
      <c r="J148" s="19">
        <v>0</v>
      </c>
      <c r="K148" s="19">
        <v>0.2</v>
      </c>
      <c r="L148" s="19">
        <v>127.3</v>
      </c>
      <c r="M148" s="19">
        <v>136.77000000000001</v>
      </c>
      <c r="N148" s="19">
        <v>15.22</v>
      </c>
      <c r="O148" s="19">
        <v>0.72</v>
      </c>
    </row>
    <row r="149" spans="1:15" ht="17.100000000000001" customHeight="1" x14ac:dyDescent="0.3">
      <c r="A149" s="136">
        <v>234</v>
      </c>
      <c r="B149" s="105" t="s">
        <v>168</v>
      </c>
      <c r="C149" s="106">
        <v>80</v>
      </c>
      <c r="D149" s="19">
        <v>6.99</v>
      </c>
      <c r="E149" s="19">
        <v>5.8</v>
      </c>
      <c r="F149" s="19">
        <v>9.9700000000000006</v>
      </c>
      <c r="G149" s="19">
        <f t="shared" si="30"/>
        <v>120.03999999999999</v>
      </c>
      <c r="H149" s="19">
        <v>4.7E-2</v>
      </c>
      <c r="I149" s="19">
        <v>0.88</v>
      </c>
      <c r="J149" s="19">
        <v>0.15</v>
      </c>
      <c r="K149" s="19">
        <v>0.4</v>
      </c>
      <c r="L149" s="19">
        <v>40.92</v>
      </c>
      <c r="M149" s="19">
        <v>92.31</v>
      </c>
      <c r="N149" s="19">
        <v>27.56</v>
      </c>
      <c r="O149" s="19">
        <v>0.77</v>
      </c>
    </row>
    <row r="150" spans="1:15" ht="17.100000000000001" customHeight="1" x14ac:dyDescent="0.3">
      <c r="A150" s="133">
        <v>125</v>
      </c>
      <c r="B150" s="134" t="s">
        <v>169</v>
      </c>
      <c r="C150" s="135">
        <v>145</v>
      </c>
      <c r="D150" s="107">
        <v>2.67</v>
      </c>
      <c r="E150" s="107">
        <v>5.24</v>
      </c>
      <c r="F150" s="107">
        <v>18.54</v>
      </c>
      <c r="G150" s="19">
        <f t="shared" si="30"/>
        <v>132</v>
      </c>
      <c r="H150" s="107">
        <v>0.15</v>
      </c>
      <c r="I150" s="107">
        <v>19.11</v>
      </c>
      <c r="J150" s="107">
        <v>0.08</v>
      </c>
      <c r="K150" s="107">
        <v>0</v>
      </c>
      <c r="L150" s="107">
        <v>18.100000000000001</v>
      </c>
      <c r="M150" s="107">
        <v>73.900000000000006</v>
      </c>
      <c r="N150" s="107">
        <v>26.92</v>
      </c>
      <c r="O150" s="127">
        <v>1.08</v>
      </c>
    </row>
    <row r="151" spans="1:15" ht="17.100000000000001" customHeight="1" x14ac:dyDescent="0.3">
      <c r="A151" s="108">
        <v>397</v>
      </c>
      <c r="B151" s="109" t="s">
        <v>170</v>
      </c>
      <c r="C151" s="110">
        <v>200</v>
      </c>
      <c r="D151" s="112">
        <v>0.12</v>
      </c>
      <c r="E151" s="112">
        <v>0.1</v>
      </c>
      <c r="F151" s="112">
        <v>27.5</v>
      </c>
      <c r="G151" s="107">
        <f t="shared" si="30"/>
        <v>111.38</v>
      </c>
      <c r="H151" s="112">
        <v>0.01</v>
      </c>
      <c r="I151" s="112">
        <v>2.0699999999999998</v>
      </c>
      <c r="J151" s="112">
        <v>0</v>
      </c>
      <c r="K151" s="112">
        <v>0</v>
      </c>
      <c r="L151" s="112">
        <v>16.2</v>
      </c>
      <c r="M151" s="112">
        <v>7.2</v>
      </c>
      <c r="N151" s="112">
        <v>7.51</v>
      </c>
      <c r="O151" s="114">
        <v>0.89</v>
      </c>
    </row>
    <row r="152" spans="1:15" ht="17.100000000000001" customHeight="1" x14ac:dyDescent="0.3">
      <c r="A152" s="115"/>
      <c r="B152" s="109" t="s">
        <v>93</v>
      </c>
      <c r="C152" s="116">
        <v>60</v>
      </c>
      <c r="D152" s="139">
        <v>4.05</v>
      </c>
      <c r="E152" s="139">
        <v>0.51</v>
      </c>
      <c r="F152" s="139">
        <v>30.09</v>
      </c>
      <c r="G152" s="107">
        <f t="shared" si="30"/>
        <v>141.15</v>
      </c>
      <c r="H152" s="139">
        <v>0.06</v>
      </c>
      <c r="I152" s="139">
        <v>0</v>
      </c>
      <c r="J152" s="139">
        <v>0</v>
      </c>
      <c r="K152" s="139">
        <v>0.66</v>
      </c>
      <c r="L152" s="139">
        <v>12</v>
      </c>
      <c r="M152" s="139">
        <v>39</v>
      </c>
      <c r="N152" s="139">
        <v>8.4</v>
      </c>
      <c r="O152" s="139">
        <v>0.66</v>
      </c>
    </row>
    <row r="153" spans="1:15" ht="17.100000000000001" customHeight="1" x14ac:dyDescent="0.3">
      <c r="A153" s="108"/>
      <c r="B153" s="109" t="s">
        <v>94</v>
      </c>
      <c r="C153" s="110">
        <v>40</v>
      </c>
      <c r="D153" s="112">
        <v>2.66</v>
      </c>
      <c r="E153" s="112">
        <v>0.48</v>
      </c>
      <c r="F153" s="112">
        <v>16.739999999999998</v>
      </c>
      <c r="G153" s="19">
        <f t="shared" si="30"/>
        <v>81.919999999999987</v>
      </c>
      <c r="H153" s="112">
        <v>0.22</v>
      </c>
      <c r="I153" s="112">
        <v>0.28000000000000003</v>
      </c>
      <c r="J153" s="112">
        <v>0</v>
      </c>
      <c r="K153" s="112">
        <v>0.22</v>
      </c>
      <c r="L153" s="112">
        <v>51.1</v>
      </c>
      <c r="M153" s="112">
        <v>87.5</v>
      </c>
      <c r="N153" s="112">
        <v>28</v>
      </c>
      <c r="O153" s="114">
        <v>1.96</v>
      </c>
    </row>
    <row r="154" spans="1:15" ht="17.100000000000001" customHeight="1" x14ac:dyDescent="0.3">
      <c r="A154" s="108"/>
      <c r="B154" s="109" t="s">
        <v>108</v>
      </c>
      <c r="C154" s="110">
        <v>200</v>
      </c>
      <c r="D154" s="139">
        <f>2.5*2</f>
        <v>5</v>
      </c>
      <c r="E154" s="139">
        <f>2.5*2</f>
        <v>5</v>
      </c>
      <c r="F154" s="139">
        <f>8*0.75</f>
        <v>6</v>
      </c>
      <c r="G154" s="107">
        <f>D154*4+E154*9+F154*4</f>
        <v>89</v>
      </c>
      <c r="H154" s="139">
        <v>0.08</v>
      </c>
      <c r="I154" s="139">
        <v>2.6</v>
      </c>
      <c r="J154" s="139">
        <v>0.4</v>
      </c>
      <c r="K154" s="139">
        <v>0.5</v>
      </c>
      <c r="L154" s="139">
        <v>240</v>
      </c>
      <c r="M154" s="139">
        <v>180</v>
      </c>
      <c r="N154" s="139">
        <v>28</v>
      </c>
      <c r="O154" s="139">
        <v>0.2</v>
      </c>
    </row>
    <row r="155" spans="1:15" ht="17.100000000000001" customHeight="1" x14ac:dyDescent="0.3">
      <c r="A155" s="128"/>
      <c r="B155" s="129" t="s">
        <v>95</v>
      </c>
      <c r="C155" s="130">
        <f>SUM(C147:C154)</f>
        <v>1035</v>
      </c>
      <c r="D155" s="131">
        <f t="shared" ref="D155:O155" si="31">SUM(D147:D153)</f>
        <v>19.29</v>
      </c>
      <c r="E155" s="131">
        <f t="shared" si="31"/>
        <v>17.267000000000003</v>
      </c>
      <c r="F155" s="131">
        <f t="shared" si="31"/>
        <v>116.88</v>
      </c>
      <c r="G155" s="131">
        <f t="shared" si="31"/>
        <v>700.08299999999997</v>
      </c>
      <c r="H155" s="131">
        <f t="shared" si="31"/>
        <v>0.56600000000000006</v>
      </c>
      <c r="I155" s="131">
        <f t="shared" si="31"/>
        <v>26.23</v>
      </c>
      <c r="J155" s="131">
        <f t="shared" si="31"/>
        <v>0.22999999999999998</v>
      </c>
      <c r="K155" s="131">
        <f t="shared" si="31"/>
        <v>1.4800000000000002</v>
      </c>
      <c r="L155" s="131">
        <f t="shared" si="31"/>
        <v>275.82</v>
      </c>
      <c r="M155" s="131">
        <f t="shared" si="31"/>
        <v>454.68</v>
      </c>
      <c r="N155" s="131">
        <f t="shared" si="31"/>
        <v>122.01</v>
      </c>
      <c r="O155" s="131">
        <f t="shared" si="31"/>
        <v>6.38</v>
      </c>
    </row>
    <row r="156" spans="1:15" ht="17.100000000000001" customHeight="1" x14ac:dyDescent="0.3">
      <c r="A156" s="322" t="s">
        <v>171</v>
      </c>
      <c r="B156" s="324"/>
      <c r="C156" s="119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</row>
    <row r="157" spans="1:15" ht="17.100000000000001" customHeight="1" x14ac:dyDescent="0.3">
      <c r="A157" s="318" t="s">
        <v>97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</row>
    <row r="158" spans="1:15" ht="17.100000000000001" customHeight="1" x14ac:dyDescent="0.3">
      <c r="A158" s="93">
        <v>222</v>
      </c>
      <c r="B158" s="94" t="s">
        <v>172</v>
      </c>
      <c r="C158" s="95">
        <v>160</v>
      </c>
      <c r="D158" s="107">
        <v>16.48</v>
      </c>
      <c r="E158" s="107">
        <v>13.92</v>
      </c>
      <c r="F158" s="107">
        <v>33.479999999999997</v>
      </c>
      <c r="G158" s="107">
        <f>F158*4+E158*9+D158*4</f>
        <v>325.12</v>
      </c>
      <c r="H158" s="107">
        <v>0.1</v>
      </c>
      <c r="I158" s="107">
        <v>0.42</v>
      </c>
      <c r="J158" s="107">
        <v>0.83</v>
      </c>
      <c r="K158" s="107">
        <v>0</v>
      </c>
      <c r="L158" s="107">
        <v>170.72</v>
      </c>
      <c r="M158" s="107">
        <v>224.08</v>
      </c>
      <c r="N158" s="107">
        <v>29.82</v>
      </c>
      <c r="O158" s="107">
        <v>1.18</v>
      </c>
    </row>
    <row r="159" spans="1:15" ht="17.100000000000001" customHeight="1" x14ac:dyDescent="0.3">
      <c r="A159" s="124">
        <v>327</v>
      </c>
      <c r="B159" s="152" t="s">
        <v>173</v>
      </c>
      <c r="C159" s="153">
        <v>15</v>
      </c>
      <c r="D159" s="96">
        <v>1.1278195488721805</v>
      </c>
      <c r="E159" s="96">
        <v>3.0075187969924809E-3</v>
      </c>
      <c r="F159" s="96">
        <v>8.5413533834586453</v>
      </c>
      <c r="G159" s="107">
        <f t="shared" ref="G159:G162" si="32">F159*4+E159*9+D159*4</f>
        <v>38.703759398496231</v>
      </c>
      <c r="H159" s="96">
        <v>7.5187969924812026E-3</v>
      </c>
      <c r="I159" s="96">
        <v>0.15037593984962405</v>
      </c>
      <c r="J159" s="96">
        <v>0</v>
      </c>
      <c r="K159" s="96">
        <v>0</v>
      </c>
      <c r="L159" s="96">
        <v>47.669172932330824</v>
      </c>
      <c r="M159" s="96">
        <v>34.436090225563909</v>
      </c>
      <c r="N159" s="96">
        <v>5.1127819548872173</v>
      </c>
      <c r="O159" s="96">
        <v>3.007518796992481E-2</v>
      </c>
    </row>
    <row r="160" spans="1:15" ht="17.100000000000001" customHeight="1" x14ac:dyDescent="0.3">
      <c r="A160" s="93">
        <v>397</v>
      </c>
      <c r="B160" s="94" t="s">
        <v>83</v>
      </c>
      <c r="C160" s="95">
        <v>200</v>
      </c>
      <c r="D160" s="19">
        <v>4.07</v>
      </c>
      <c r="E160" s="19">
        <v>3.5</v>
      </c>
      <c r="F160" s="19">
        <v>17.5</v>
      </c>
      <c r="G160" s="107">
        <f t="shared" si="32"/>
        <v>117.78</v>
      </c>
      <c r="H160" s="19">
        <f>0.28*0.18</f>
        <v>5.04E-2</v>
      </c>
      <c r="I160" s="19">
        <v>1.57</v>
      </c>
      <c r="J160" s="19">
        <v>0.24</v>
      </c>
      <c r="K160" s="19">
        <v>0.2</v>
      </c>
      <c r="L160" s="19">
        <v>152.19999999999999</v>
      </c>
      <c r="M160" s="19">
        <v>124.5</v>
      </c>
      <c r="N160" s="19">
        <v>21.34</v>
      </c>
      <c r="O160" s="19">
        <v>0.47</v>
      </c>
    </row>
    <row r="161" spans="1:15" ht="17.100000000000001" customHeight="1" x14ac:dyDescent="0.3">
      <c r="A161" s="140"/>
      <c r="B161" s="94" t="s">
        <v>84</v>
      </c>
      <c r="C161" s="95">
        <v>40</v>
      </c>
      <c r="D161" s="96">
        <f>1.35*2</f>
        <v>2.7</v>
      </c>
      <c r="E161" s="96">
        <f>0.172*2</f>
        <v>0.34399999999999997</v>
      </c>
      <c r="F161" s="96">
        <f>10.03*2</f>
        <v>20.059999999999999</v>
      </c>
      <c r="G161" s="96">
        <f t="shared" si="32"/>
        <v>94.135999999999996</v>
      </c>
      <c r="H161" s="96">
        <v>2.4E-2</v>
      </c>
      <c r="I161" s="96">
        <v>0</v>
      </c>
      <c r="J161" s="96">
        <v>0</v>
      </c>
      <c r="K161" s="96">
        <v>0.42</v>
      </c>
      <c r="L161" s="96">
        <v>8</v>
      </c>
      <c r="M161" s="96">
        <v>26</v>
      </c>
      <c r="N161" s="96">
        <v>5.6</v>
      </c>
      <c r="O161" s="96">
        <v>0.4</v>
      </c>
    </row>
    <row r="162" spans="1:15" ht="17.100000000000001" customHeight="1" x14ac:dyDescent="0.3">
      <c r="A162" s="140"/>
      <c r="B162" s="94" t="s">
        <v>174</v>
      </c>
      <c r="C162" s="95">
        <v>180</v>
      </c>
      <c r="D162" s="19">
        <f>5*1.8</f>
        <v>9</v>
      </c>
      <c r="E162" s="19">
        <f>3.2*1.8</f>
        <v>5.7600000000000007</v>
      </c>
      <c r="F162" s="19">
        <f>3.5*1.8</f>
        <v>6.3</v>
      </c>
      <c r="G162" s="107">
        <f t="shared" si="32"/>
        <v>113.04</v>
      </c>
      <c r="H162" s="19">
        <f>0.04*0.75</f>
        <v>0.03</v>
      </c>
      <c r="I162" s="19">
        <v>0.54</v>
      </c>
      <c r="J162" s="19">
        <v>0.36</v>
      </c>
      <c r="K162" s="19">
        <v>0</v>
      </c>
      <c r="L162" s="19">
        <v>223.2</v>
      </c>
      <c r="M162" s="19">
        <v>165.6</v>
      </c>
      <c r="N162" s="19">
        <v>25.2</v>
      </c>
      <c r="O162" s="19">
        <v>0.18</v>
      </c>
    </row>
    <row r="163" spans="1:15" ht="17.100000000000001" customHeight="1" x14ac:dyDescent="0.3">
      <c r="A163" s="100"/>
      <c r="B163" s="101" t="s">
        <v>86</v>
      </c>
      <c r="C163" s="102">
        <f>SUM(C158:C162)</f>
        <v>595</v>
      </c>
      <c r="D163" s="103">
        <f t="shared" ref="D163:O163" si="33">SUM(D158:D162)</f>
        <v>33.377819548872182</v>
      </c>
      <c r="E163" s="103">
        <f t="shared" si="33"/>
        <v>23.527007518796996</v>
      </c>
      <c r="F163" s="103">
        <f t="shared" si="33"/>
        <v>85.881353383458645</v>
      </c>
      <c r="G163" s="103">
        <f t="shared" si="33"/>
        <v>688.77975939849614</v>
      </c>
      <c r="H163" s="103">
        <f t="shared" si="33"/>
        <v>0.2119187969924812</v>
      </c>
      <c r="I163" s="103">
        <f t="shared" si="33"/>
        <v>2.6803759398496241</v>
      </c>
      <c r="J163" s="103">
        <f t="shared" si="33"/>
        <v>1.4299999999999997</v>
      </c>
      <c r="K163" s="103">
        <f t="shared" si="33"/>
        <v>0.62</v>
      </c>
      <c r="L163" s="103">
        <f t="shared" si="33"/>
        <v>601.78917293233076</v>
      </c>
      <c r="M163" s="103">
        <f t="shared" si="33"/>
        <v>574.61609022556388</v>
      </c>
      <c r="N163" s="103">
        <f t="shared" si="33"/>
        <v>87.072781954887219</v>
      </c>
      <c r="O163" s="103">
        <f t="shared" si="33"/>
        <v>2.260075187969925</v>
      </c>
    </row>
    <row r="164" spans="1:15" ht="17.100000000000001" customHeight="1" x14ac:dyDescent="0.3">
      <c r="A164" s="318" t="s">
        <v>22</v>
      </c>
      <c r="B164" s="319"/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</row>
    <row r="165" spans="1:15" ht="17.100000000000001" customHeight="1" x14ac:dyDescent="0.3">
      <c r="A165" s="136" t="s">
        <v>175</v>
      </c>
      <c r="B165" s="105" t="s">
        <v>176</v>
      </c>
      <c r="C165" s="106">
        <v>250</v>
      </c>
      <c r="D165" s="111">
        <v>1.59</v>
      </c>
      <c r="E165" s="111">
        <v>4.9000000000000004</v>
      </c>
      <c r="F165" s="111">
        <v>9.15</v>
      </c>
      <c r="G165" s="111">
        <f t="shared" ref="G165:G166" si="34">D165*4+E165*9+F165*4</f>
        <v>87.06</v>
      </c>
      <c r="H165" s="111">
        <v>7.0000000000000007E-2</v>
      </c>
      <c r="I165" s="111">
        <v>10.38</v>
      </c>
      <c r="J165" s="111">
        <v>0</v>
      </c>
      <c r="K165" s="111">
        <v>0.3</v>
      </c>
      <c r="L165" s="111">
        <v>34.85</v>
      </c>
      <c r="M165" s="111">
        <v>49.28</v>
      </c>
      <c r="N165" s="111">
        <v>20.75</v>
      </c>
      <c r="O165" s="113">
        <v>0.78</v>
      </c>
    </row>
    <row r="166" spans="1:15" ht="17.100000000000001" customHeight="1" x14ac:dyDescent="0.3">
      <c r="A166" s="136">
        <v>267</v>
      </c>
      <c r="B166" s="105" t="s">
        <v>177</v>
      </c>
      <c r="C166" s="106">
        <v>75</v>
      </c>
      <c r="D166" s="111">
        <v>13.2</v>
      </c>
      <c r="E166" s="111">
        <v>18.8</v>
      </c>
      <c r="F166" s="111">
        <v>9.1</v>
      </c>
      <c r="G166" s="111">
        <f t="shared" si="34"/>
        <v>258.39999999999998</v>
      </c>
      <c r="H166" s="111">
        <v>0.09</v>
      </c>
      <c r="I166" s="111">
        <v>0</v>
      </c>
      <c r="J166" s="111">
        <v>0.45</v>
      </c>
      <c r="K166" s="111">
        <v>0.3</v>
      </c>
      <c r="L166" s="111">
        <v>18.329999999999998</v>
      </c>
      <c r="M166" s="111">
        <v>208.98</v>
      </c>
      <c r="N166" s="111">
        <v>32.299999999999997</v>
      </c>
      <c r="O166" s="113">
        <v>3.81</v>
      </c>
    </row>
    <row r="167" spans="1:15" ht="17.100000000000001" customHeight="1" x14ac:dyDescent="0.3">
      <c r="A167" s="115"/>
      <c r="B167" s="109" t="s">
        <v>178</v>
      </c>
      <c r="C167" s="116">
        <v>155</v>
      </c>
      <c r="D167" s="19">
        <v>3.2</v>
      </c>
      <c r="E167" s="19">
        <v>5.2</v>
      </c>
      <c r="F167" s="19">
        <v>20.8</v>
      </c>
      <c r="G167" s="112">
        <f>D167*4+E167*9+F167*4</f>
        <v>142.80000000000001</v>
      </c>
      <c r="H167" s="19">
        <v>0.06</v>
      </c>
      <c r="I167" s="19">
        <v>0</v>
      </c>
      <c r="J167" s="19">
        <v>0</v>
      </c>
      <c r="K167" s="111">
        <v>0.5</v>
      </c>
      <c r="L167" s="19">
        <v>26.82</v>
      </c>
      <c r="M167" s="19">
        <v>111.2</v>
      </c>
      <c r="N167" s="19">
        <v>15.99</v>
      </c>
      <c r="O167" s="19">
        <v>0.57999999999999996</v>
      </c>
    </row>
    <row r="168" spans="1:15" ht="17.100000000000001" customHeight="1" x14ac:dyDescent="0.3">
      <c r="A168" s="108" t="s">
        <v>179</v>
      </c>
      <c r="B168" s="105" t="s">
        <v>180</v>
      </c>
      <c r="C168" s="110">
        <v>200</v>
      </c>
      <c r="D168" s="112">
        <v>0.52</v>
      </c>
      <c r="E168" s="112">
        <v>0</v>
      </c>
      <c r="F168" s="112">
        <v>31.5</v>
      </c>
      <c r="G168" s="107">
        <f t="shared" ref="G168" si="35">D168*4+E168*9+F168*4</f>
        <v>128.08000000000001</v>
      </c>
      <c r="H168" s="112">
        <v>0.02</v>
      </c>
      <c r="I168" s="112">
        <v>3.07</v>
      </c>
      <c r="J168" s="112">
        <v>0</v>
      </c>
      <c r="K168" s="112">
        <v>0.15</v>
      </c>
      <c r="L168" s="112">
        <v>16.100000000000001</v>
      </c>
      <c r="M168" s="112">
        <v>13.2</v>
      </c>
      <c r="N168" s="112">
        <v>7.51</v>
      </c>
      <c r="O168" s="114">
        <v>2.39</v>
      </c>
    </row>
    <row r="169" spans="1:15" ht="17.100000000000001" customHeight="1" x14ac:dyDescent="0.3">
      <c r="A169" s="108"/>
      <c r="B169" s="109" t="s">
        <v>93</v>
      </c>
      <c r="C169" s="110">
        <v>40</v>
      </c>
      <c r="D169" s="139">
        <v>2.7</v>
      </c>
      <c r="E169" s="139">
        <v>0.34</v>
      </c>
      <c r="F169" s="139">
        <v>20.059999999999999</v>
      </c>
      <c r="G169" s="139">
        <v>94.1</v>
      </c>
      <c r="H169" s="139">
        <v>0.04</v>
      </c>
      <c r="I169" s="139">
        <v>0</v>
      </c>
      <c r="J169" s="139">
        <v>0</v>
      </c>
      <c r="K169" s="139">
        <v>0.44</v>
      </c>
      <c r="L169" s="139">
        <v>8</v>
      </c>
      <c r="M169" s="139">
        <v>26</v>
      </c>
      <c r="N169" s="139">
        <v>5.6</v>
      </c>
      <c r="O169" s="139">
        <v>0.44</v>
      </c>
    </row>
    <row r="170" spans="1:15" ht="17.100000000000001" customHeight="1" x14ac:dyDescent="0.3">
      <c r="A170" s="108"/>
      <c r="B170" s="109" t="s">
        <v>94</v>
      </c>
      <c r="C170" s="110">
        <v>20</v>
      </c>
      <c r="D170" s="112">
        <v>1.33</v>
      </c>
      <c r="E170" s="112">
        <v>0.24</v>
      </c>
      <c r="F170" s="112">
        <v>8.3699999999999992</v>
      </c>
      <c r="G170" s="107">
        <f t="shared" ref="G170" si="36">D170*4+E170*9+F170*4</f>
        <v>40.959999999999994</v>
      </c>
      <c r="H170" s="112">
        <v>0.11</v>
      </c>
      <c r="I170" s="112">
        <v>0.14000000000000001</v>
      </c>
      <c r="J170" s="112">
        <v>0</v>
      </c>
      <c r="K170" s="112">
        <v>0.11</v>
      </c>
      <c r="L170" s="112">
        <v>25.55</v>
      </c>
      <c r="M170" s="112">
        <v>43.75</v>
      </c>
      <c r="N170" s="112">
        <v>14</v>
      </c>
      <c r="O170" s="114">
        <v>0.98</v>
      </c>
    </row>
    <row r="171" spans="1:15" ht="17.100000000000001" customHeight="1" x14ac:dyDescent="0.3">
      <c r="A171" s="108"/>
      <c r="B171" s="109" t="s">
        <v>181</v>
      </c>
      <c r="C171" s="110">
        <v>180</v>
      </c>
      <c r="D171" s="111">
        <v>4.37</v>
      </c>
      <c r="E171" s="111">
        <f>2.7*1.8</f>
        <v>4.8600000000000003</v>
      </c>
      <c r="F171" s="111">
        <v>7.1749999999999998</v>
      </c>
      <c r="G171" s="111">
        <f>D171*4+E171*9+F171*4</f>
        <v>89.92</v>
      </c>
      <c r="H171" s="111">
        <v>3.5000000000000003E-2</v>
      </c>
      <c r="I171" s="111">
        <v>0.52</v>
      </c>
      <c r="J171" s="111">
        <v>0.35</v>
      </c>
      <c r="K171" s="111">
        <v>0.5</v>
      </c>
      <c r="L171" s="111">
        <v>217</v>
      </c>
      <c r="M171" s="111">
        <v>57.96</v>
      </c>
      <c r="N171" s="111">
        <v>24.5</v>
      </c>
      <c r="O171" s="111">
        <v>0.17499999999999999</v>
      </c>
    </row>
    <row r="172" spans="1:15" ht="17.100000000000001" customHeight="1" x14ac:dyDescent="0.3">
      <c r="A172" s="128"/>
      <c r="B172" s="154" t="s">
        <v>95</v>
      </c>
      <c r="C172" s="130">
        <f>SUM(C165:C171)</f>
        <v>920</v>
      </c>
      <c r="D172" s="131">
        <f>SUM(D165:D171)</f>
        <v>26.91</v>
      </c>
      <c r="E172" s="131">
        <f t="shared" ref="E172:O172" si="37">SUM(E165:E171)</f>
        <v>34.340000000000003</v>
      </c>
      <c r="F172" s="131">
        <f t="shared" si="37"/>
        <v>106.155</v>
      </c>
      <c r="G172" s="131">
        <f t="shared" si="37"/>
        <v>841.32</v>
      </c>
      <c r="H172" s="131">
        <f t="shared" si="37"/>
        <v>0.42499999999999993</v>
      </c>
      <c r="I172" s="131">
        <f t="shared" si="37"/>
        <v>14.110000000000001</v>
      </c>
      <c r="J172" s="131">
        <f t="shared" si="37"/>
        <v>0.8</v>
      </c>
      <c r="K172" s="131">
        <f t="shared" si="37"/>
        <v>2.2999999999999998</v>
      </c>
      <c r="L172" s="131">
        <f t="shared" si="37"/>
        <v>346.65</v>
      </c>
      <c r="M172" s="131">
        <f t="shared" si="37"/>
        <v>510.36999999999995</v>
      </c>
      <c r="N172" s="131">
        <f t="shared" si="37"/>
        <v>120.64999999999999</v>
      </c>
      <c r="O172" s="131">
        <f t="shared" si="37"/>
        <v>9.1550000000000011</v>
      </c>
    </row>
    <row r="173" spans="1:15" ht="17.100000000000001" customHeight="1" x14ac:dyDescent="0.3">
      <c r="A173" s="322" t="s">
        <v>182</v>
      </c>
      <c r="B173" s="324"/>
      <c r="C173" s="119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</row>
    <row r="174" spans="1:15" ht="17.100000000000001" customHeight="1" x14ac:dyDescent="0.3">
      <c r="A174" s="318" t="s">
        <v>97</v>
      </c>
      <c r="B174" s="319"/>
      <c r="C174" s="319"/>
      <c r="D174" s="319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</row>
    <row r="175" spans="1:15" ht="17.100000000000001" customHeight="1" x14ac:dyDescent="0.3">
      <c r="A175" s="93"/>
      <c r="B175" s="94" t="s">
        <v>98</v>
      </c>
      <c r="C175" s="95">
        <v>70</v>
      </c>
      <c r="D175" s="96">
        <v>0.48719999999999997</v>
      </c>
      <c r="E175" s="96">
        <v>6.9599999999999995E-2</v>
      </c>
      <c r="F175" s="96">
        <v>1.3223999999999998</v>
      </c>
      <c r="G175" s="96">
        <f>F175*4+E175*9+D175*4</f>
        <v>7.8647999999999989</v>
      </c>
      <c r="H175" s="96">
        <v>2.3199999999999998E-2</v>
      </c>
      <c r="I175" s="96">
        <v>3.4103999999999997</v>
      </c>
      <c r="J175" s="96">
        <v>0</v>
      </c>
      <c r="K175" s="96">
        <v>6.9599999999999995E-2</v>
      </c>
      <c r="L175" s="96">
        <v>11.831999999999999</v>
      </c>
      <c r="M175" s="96">
        <v>20.88</v>
      </c>
      <c r="N175" s="96">
        <v>9.7439999999999998</v>
      </c>
      <c r="O175" s="96">
        <v>0.34799999999999998</v>
      </c>
    </row>
    <row r="176" spans="1:15" ht="17.100000000000001" customHeight="1" x14ac:dyDescent="0.3">
      <c r="A176" s="93">
        <v>297</v>
      </c>
      <c r="B176" s="94" t="s">
        <v>183</v>
      </c>
      <c r="C176" s="95">
        <f>65</f>
        <v>65</v>
      </c>
      <c r="D176" s="96">
        <v>6.86</v>
      </c>
      <c r="E176" s="96">
        <v>10.24</v>
      </c>
      <c r="F176" s="96">
        <v>4.05</v>
      </c>
      <c r="G176" s="96">
        <f t="shared" ref="G176:G182" si="38">F176*4+E176*9+D176*4</f>
        <v>135.80000000000001</v>
      </c>
      <c r="H176" s="96">
        <v>0.02</v>
      </c>
      <c r="I176" s="96">
        <v>0.51</v>
      </c>
      <c r="J176" s="96">
        <v>0.39</v>
      </c>
      <c r="K176" s="96">
        <v>2.4049999999999998</v>
      </c>
      <c r="L176" s="96">
        <v>24.21</v>
      </c>
      <c r="M176" s="96">
        <v>53.55</v>
      </c>
      <c r="N176" s="96">
        <v>7.21</v>
      </c>
      <c r="O176" s="96">
        <v>0.56999999999999995</v>
      </c>
    </row>
    <row r="177" spans="1:15" ht="17.100000000000001" customHeight="1" x14ac:dyDescent="0.3">
      <c r="A177" s="132"/>
      <c r="B177" s="94" t="s">
        <v>184</v>
      </c>
      <c r="C177" s="95">
        <v>50</v>
      </c>
      <c r="D177" s="107">
        <v>0.7</v>
      </c>
      <c r="E177" s="107">
        <v>1.2</v>
      </c>
      <c r="F177" s="107">
        <v>6.63</v>
      </c>
      <c r="G177" s="96">
        <f t="shared" si="38"/>
        <v>40.119999999999997</v>
      </c>
      <c r="H177" s="107">
        <v>0.01</v>
      </c>
      <c r="I177" s="107">
        <v>1.9E-2</v>
      </c>
      <c r="J177" s="107">
        <v>0.17</v>
      </c>
      <c r="K177" s="107">
        <v>0</v>
      </c>
      <c r="L177" s="107">
        <v>21.5</v>
      </c>
      <c r="M177" s="107">
        <v>39.56</v>
      </c>
      <c r="N177" s="107">
        <v>2.64</v>
      </c>
      <c r="O177" s="107">
        <v>0.1</v>
      </c>
    </row>
    <row r="178" spans="1:15" ht="17.100000000000001" customHeight="1" x14ac:dyDescent="0.3">
      <c r="A178" s="132">
        <v>203</v>
      </c>
      <c r="B178" s="122" t="s">
        <v>185</v>
      </c>
      <c r="C178" s="123">
        <v>115</v>
      </c>
      <c r="D178" s="19">
        <v>4.1399999999999997</v>
      </c>
      <c r="E178" s="19">
        <v>5</v>
      </c>
      <c r="F178" s="19">
        <v>23.4</v>
      </c>
      <c r="G178" s="96">
        <f t="shared" si="38"/>
        <v>155.16</v>
      </c>
      <c r="H178" s="19">
        <v>0.04</v>
      </c>
      <c r="I178" s="19">
        <v>0</v>
      </c>
      <c r="J178" s="19">
        <v>0</v>
      </c>
      <c r="K178" s="19">
        <v>0.56999999999999995</v>
      </c>
      <c r="L178" s="19">
        <v>8.1999999999999993</v>
      </c>
      <c r="M178" s="19">
        <v>27.2</v>
      </c>
      <c r="N178" s="19">
        <v>6.32</v>
      </c>
      <c r="O178" s="19">
        <v>0.62</v>
      </c>
    </row>
    <row r="179" spans="1:15" ht="17.100000000000001" customHeight="1" x14ac:dyDescent="0.3">
      <c r="A179" s="93">
        <v>379</v>
      </c>
      <c r="B179" s="94" t="s">
        <v>114</v>
      </c>
      <c r="C179" s="95">
        <v>200</v>
      </c>
      <c r="D179" s="96">
        <v>2.9</v>
      </c>
      <c r="E179" s="96">
        <v>2.5</v>
      </c>
      <c r="F179" s="96">
        <v>14.7</v>
      </c>
      <c r="G179" s="96">
        <f t="shared" si="38"/>
        <v>92.899999999999991</v>
      </c>
      <c r="H179" s="96">
        <v>0.02</v>
      </c>
      <c r="I179" s="96">
        <v>0.6</v>
      </c>
      <c r="J179" s="96">
        <v>0.1</v>
      </c>
      <c r="K179" s="96">
        <v>0.1</v>
      </c>
      <c r="L179" s="96">
        <v>120.3</v>
      </c>
      <c r="M179" s="96">
        <v>110</v>
      </c>
      <c r="N179" s="96">
        <v>14</v>
      </c>
      <c r="O179" s="96">
        <v>0.13</v>
      </c>
    </row>
    <row r="180" spans="1:15" ht="17.100000000000001" customHeight="1" x14ac:dyDescent="0.3">
      <c r="A180" s="93"/>
      <c r="B180" s="94" t="s">
        <v>94</v>
      </c>
      <c r="C180" s="95">
        <v>25</v>
      </c>
      <c r="D180" s="96">
        <v>1.6625000000000001</v>
      </c>
      <c r="E180" s="96">
        <v>0.3</v>
      </c>
      <c r="F180" s="96">
        <v>10.462499999999999</v>
      </c>
      <c r="G180" s="96">
        <f t="shared" si="38"/>
        <v>51.199999999999996</v>
      </c>
      <c r="H180" s="96">
        <v>0.13124999999999998</v>
      </c>
      <c r="I180" s="96">
        <v>0.17499999999999996</v>
      </c>
      <c r="J180" s="96">
        <v>0</v>
      </c>
      <c r="K180" s="96">
        <v>0.13124999999999998</v>
      </c>
      <c r="L180" s="96">
        <v>31.937499999999996</v>
      </c>
      <c r="M180" s="96">
        <v>54.6875</v>
      </c>
      <c r="N180" s="96">
        <v>17.5</v>
      </c>
      <c r="O180" s="96">
        <v>1.2249999999999999</v>
      </c>
    </row>
    <row r="181" spans="1:15" ht="17.100000000000001" customHeight="1" x14ac:dyDescent="0.3">
      <c r="A181" s="140"/>
      <c r="B181" s="94" t="s">
        <v>84</v>
      </c>
      <c r="C181" s="95">
        <v>40</v>
      </c>
      <c r="D181" s="96">
        <f>1.35*2</f>
        <v>2.7</v>
      </c>
      <c r="E181" s="96">
        <f>0.172*2</f>
        <v>0.34399999999999997</v>
      </c>
      <c r="F181" s="96">
        <f>10.03*2</f>
        <v>20.059999999999999</v>
      </c>
      <c r="G181" s="96">
        <f t="shared" si="38"/>
        <v>94.135999999999996</v>
      </c>
      <c r="H181" s="96">
        <v>2.4E-2</v>
      </c>
      <c r="I181" s="96">
        <v>0</v>
      </c>
      <c r="J181" s="96">
        <v>0</v>
      </c>
      <c r="K181" s="96">
        <v>0.42</v>
      </c>
      <c r="L181" s="96">
        <v>8</v>
      </c>
      <c r="M181" s="96">
        <v>26</v>
      </c>
      <c r="N181" s="96">
        <v>5.6</v>
      </c>
      <c r="O181" s="96">
        <v>0.4</v>
      </c>
    </row>
    <row r="182" spans="1:15" ht="17.100000000000001" customHeight="1" x14ac:dyDescent="0.3">
      <c r="A182" s="93">
        <v>368</v>
      </c>
      <c r="B182" s="94" t="s">
        <v>186</v>
      </c>
      <c r="C182" s="95">
        <v>120</v>
      </c>
      <c r="D182" s="19">
        <f>0.9*1.2</f>
        <v>1.08</v>
      </c>
      <c r="E182" s="19">
        <f>0.1*1.2</f>
        <v>0.12</v>
      </c>
      <c r="F182" s="19">
        <f>9.5*1.2</f>
        <v>11.4</v>
      </c>
      <c r="G182" s="96">
        <f t="shared" si="38"/>
        <v>51</v>
      </c>
      <c r="H182" s="19">
        <v>0.04</v>
      </c>
      <c r="I182" s="19">
        <v>5</v>
      </c>
      <c r="J182" s="19">
        <v>0</v>
      </c>
      <c r="K182" s="19">
        <v>0.33</v>
      </c>
      <c r="L182" s="19">
        <v>25</v>
      </c>
      <c r="M182" s="19">
        <v>18.3</v>
      </c>
      <c r="N182" s="19">
        <v>14.16</v>
      </c>
      <c r="O182" s="19">
        <v>0.5</v>
      </c>
    </row>
    <row r="183" spans="1:15" ht="17.100000000000001" customHeight="1" x14ac:dyDescent="0.3">
      <c r="A183" s="100"/>
      <c r="B183" s="101" t="s">
        <v>86</v>
      </c>
      <c r="C183" s="102">
        <f>SUM(C175:C182)</f>
        <v>685</v>
      </c>
      <c r="D183" s="103">
        <f t="shared" ref="D183:O183" si="39">SUM(D175:D182)</f>
        <v>20.529699999999998</v>
      </c>
      <c r="E183" s="103">
        <f t="shared" si="39"/>
        <v>19.773600000000002</v>
      </c>
      <c r="F183" s="103">
        <f t="shared" si="39"/>
        <v>92.024900000000002</v>
      </c>
      <c r="G183" s="103">
        <f t="shared" si="39"/>
        <v>628.18079999999998</v>
      </c>
      <c r="H183" s="103">
        <f t="shared" si="39"/>
        <v>0.30845</v>
      </c>
      <c r="I183" s="103">
        <f t="shared" si="39"/>
        <v>9.7143999999999995</v>
      </c>
      <c r="J183" s="103">
        <f t="shared" si="39"/>
        <v>0.66</v>
      </c>
      <c r="K183" s="103">
        <f t="shared" si="39"/>
        <v>4.0258499999999993</v>
      </c>
      <c r="L183" s="103">
        <f t="shared" si="39"/>
        <v>250.9795</v>
      </c>
      <c r="M183" s="103">
        <f t="shared" si="39"/>
        <v>350.17750000000001</v>
      </c>
      <c r="N183" s="103">
        <f t="shared" si="39"/>
        <v>77.174000000000007</v>
      </c>
      <c r="O183" s="103">
        <f t="shared" si="39"/>
        <v>3.8929999999999993</v>
      </c>
    </row>
    <row r="184" spans="1:15" ht="17.100000000000001" customHeight="1" x14ac:dyDescent="0.3">
      <c r="A184" s="155"/>
      <c r="B184" s="318" t="s">
        <v>22</v>
      </c>
      <c r="C184" s="327"/>
      <c r="D184" s="327"/>
      <c r="E184" s="327"/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</row>
    <row r="185" spans="1:15" ht="17.100000000000001" customHeight="1" x14ac:dyDescent="0.3">
      <c r="A185" s="143">
        <v>82</v>
      </c>
      <c r="B185" s="138" t="s">
        <v>187</v>
      </c>
      <c r="C185" s="116">
        <v>250</v>
      </c>
      <c r="D185" s="107">
        <v>1.8</v>
      </c>
      <c r="E185" s="107">
        <v>4.92</v>
      </c>
      <c r="F185" s="107">
        <v>10.93</v>
      </c>
      <c r="G185" s="96">
        <f t="shared" ref="G185:G188" si="40">F185*4+E185*9+D185*4</f>
        <v>95.2</v>
      </c>
      <c r="H185" s="107">
        <v>0.05</v>
      </c>
      <c r="I185" s="107">
        <v>10.68</v>
      </c>
      <c r="J185" s="107">
        <v>0</v>
      </c>
      <c r="K185" s="107">
        <v>0.5</v>
      </c>
      <c r="L185" s="107">
        <v>49.73</v>
      </c>
      <c r="M185" s="107">
        <v>54.6</v>
      </c>
      <c r="N185" s="107">
        <v>26.13</v>
      </c>
      <c r="O185" s="127">
        <v>1.23</v>
      </c>
    </row>
    <row r="186" spans="1:15" ht="17.100000000000001" customHeight="1" x14ac:dyDescent="0.3">
      <c r="A186" s="108">
        <v>250</v>
      </c>
      <c r="B186" s="109" t="s">
        <v>188</v>
      </c>
      <c r="C186" s="110">
        <v>70</v>
      </c>
      <c r="D186" s="107">
        <v>12.5</v>
      </c>
      <c r="E186" s="107">
        <v>6.4</v>
      </c>
      <c r="F186" s="107">
        <v>1.3</v>
      </c>
      <c r="G186" s="96">
        <f t="shared" si="40"/>
        <v>112.80000000000001</v>
      </c>
      <c r="H186" s="107">
        <v>2.7E-2</v>
      </c>
      <c r="I186" s="107">
        <v>1.1299999999999999</v>
      </c>
      <c r="J186" s="107">
        <v>0.3</v>
      </c>
      <c r="K186" s="107">
        <v>0.5</v>
      </c>
      <c r="L186" s="107">
        <v>74.63</v>
      </c>
      <c r="M186" s="107">
        <v>89</v>
      </c>
      <c r="N186" s="107">
        <v>26.85</v>
      </c>
      <c r="O186" s="127">
        <v>0.53</v>
      </c>
    </row>
    <row r="187" spans="1:15" ht="17.100000000000001" customHeight="1" x14ac:dyDescent="0.3">
      <c r="A187" s="156"/>
      <c r="B187" s="94" t="s">
        <v>184</v>
      </c>
      <c r="C187" s="95">
        <v>50</v>
      </c>
      <c r="D187" s="107">
        <v>0.7</v>
      </c>
      <c r="E187" s="107">
        <v>1.2</v>
      </c>
      <c r="F187" s="107">
        <v>6.63</v>
      </c>
      <c r="G187" s="96">
        <f t="shared" si="40"/>
        <v>40.119999999999997</v>
      </c>
      <c r="H187" s="107">
        <v>0.01</v>
      </c>
      <c r="I187" s="107">
        <v>1.9E-2</v>
      </c>
      <c r="J187" s="107">
        <v>0.17</v>
      </c>
      <c r="K187" s="107">
        <v>0</v>
      </c>
      <c r="L187" s="107">
        <v>21.5</v>
      </c>
      <c r="M187" s="107">
        <v>39.56</v>
      </c>
      <c r="N187" s="107">
        <v>2.64</v>
      </c>
      <c r="O187" s="107">
        <v>0.1</v>
      </c>
    </row>
    <row r="188" spans="1:15" ht="17.100000000000001" customHeight="1" x14ac:dyDescent="0.3">
      <c r="A188" s="115">
        <v>205</v>
      </c>
      <c r="B188" s="138" t="s">
        <v>189</v>
      </c>
      <c r="C188" s="116">
        <v>130</v>
      </c>
      <c r="D188" s="19">
        <v>4.3099999999999996</v>
      </c>
      <c r="E188" s="19">
        <v>5.99</v>
      </c>
      <c r="F188" s="19">
        <v>23.77</v>
      </c>
      <c r="G188" s="96">
        <f t="shared" si="40"/>
        <v>166.23000000000002</v>
      </c>
      <c r="H188" s="19">
        <v>0.06</v>
      </c>
      <c r="I188" s="19">
        <v>2.2599999999999998</v>
      </c>
      <c r="J188" s="19">
        <v>0</v>
      </c>
      <c r="K188" s="107">
        <v>0.05</v>
      </c>
      <c r="L188" s="19">
        <v>16.18</v>
      </c>
      <c r="M188" s="19">
        <v>42.4</v>
      </c>
      <c r="N188" s="19">
        <v>14.45</v>
      </c>
      <c r="O188" s="19">
        <v>0.86</v>
      </c>
    </row>
    <row r="189" spans="1:15" ht="17.100000000000001" customHeight="1" x14ac:dyDescent="0.3">
      <c r="A189" s="145"/>
      <c r="B189" s="109" t="s">
        <v>190</v>
      </c>
      <c r="C189" s="110">
        <v>35</v>
      </c>
      <c r="D189" s="107">
        <f>6.8*0.32</f>
        <v>2.1760000000000002</v>
      </c>
      <c r="E189" s="107">
        <f>32.4*0.35</f>
        <v>11.339999999999998</v>
      </c>
      <c r="F189" s="107">
        <f>65.6*0.35</f>
        <v>22.959999999999997</v>
      </c>
      <c r="G189" s="96">
        <f>F189*4+E189*9+D189*4</f>
        <v>202.60399999999998</v>
      </c>
      <c r="H189" s="107">
        <v>0.04</v>
      </c>
      <c r="I189" s="107">
        <v>0</v>
      </c>
      <c r="J189" s="107">
        <v>0.2797</v>
      </c>
      <c r="K189" s="107">
        <f>7.7*0.45</f>
        <v>3.4650000000000003</v>
      </c>
      <c r="L189" s="107">
        <v>10.14</v>
      </c>
      <c r="M189" s="107">
        <v>64.59</v>
      </c>
      <c r="N189" s="107">
        <v>7.69</v>
      </c>
      <c r="O189" s="127">
        <v>0.64</v>
      </c>
    </row>
    <row r="190" spans="1:15" ht="17.100000000000001" customHeight="1" x14ac:dyDescent="0.3">
      <c r="A190" s="115"/>
      <c r="B190" s="109" t="s">
        <v>93</v>
      </c>
      <c r="C190" s="116">
        <v>60</v>
      </c>
      <c r="D190" s="139">
        <v>4.05</v>
      </c>
      <c r="E190" s="139">
        <v>0.51</v>
      </c>
      <c r="F190" s="139">
        <v>30.09</v>
      </c>
      <c r="G190" s="96">
        <f>F190*4+E190*9+D190*4</f>
        <v>141.15</v>
      </c>
      <c r="H190" s="139">
        <v>0.06</v>
      </c>
      <c r="I190" s="139">
        <v>0</v>
      </c>
      <c r="J190" s="139">
        <v>0</v>
      </c>
      <c r="K190" s="139">
        <v>0.66</v>
      </c>
      <c r="L190" s="139">
        <v>12</v>
      </c>
      <c r="M190" s="139">
        <v>39</v>
      </c>
      <c r="N190" s="139">
        <v>8.4</v>
      </c>
      <c r="O190" s="139">
        <v>0.66</v>
      </c>
    </row>
    <row r="191" spans="1:15" ht="17.100000000000001" customHeight="1" x14ac:dyDescent="0.3">
      <c r="A191" s="145"/>
      <c r="B191" s="109" t="s">
        <v>191</v>
      </c>
      <c r="C191" s="110">
        <v>20</v>
      </c>
      <c r="D191" s="112">
        <v>1.33</v>
      </c>
      <c r="E191" s="112">
        <v>0.24</v>
      </c>
      <c r="F191" s="112">
        <v>8.3699999999999992</v>
      </c>
      <c r="G191" s="96">
        <f>F191*4+E191*9+D191*4</f>
        <v>40.96</v>
      </c>
      <c r="H191" s="112">
        <v>0.11</v>
      </c>
      <c r="I191" s="112">
        <v>0.14000000000000001</v>
      </c>
      <c r="J191" s="112">
        <v>0</v>
      </c>
      <c r="K191" s="112">
        <v>0.11</v>
      </c>
      <c r="L191" s="112">
        <v>25.55</v>
      </c>
      <c r="M191" s="112">
        <v>43.75</v>
      </c>
      <c r="N191" s="112">
        <v>14</v>
      </c>
      <c r="O191" s="114">
        <v>0.98</v>
      </c>
    </row>
    <row r="192" spans="1:15" ht="17.100000000000001" customHeight="1" x14ac:dyDescent="0.3">
      <c r="A192" s="108"/>
      <c r="B192" s="109" t="s">
        <v>108</v>
      </c>
      <c r="C192" s="110">
        <v>200</v>
      </c>
      <c r="D192" s="139">
        <f>2.5*2</f>
        <v>5</v>
      </c>
      <c r="E192" s="139">
        <f>2.5*2</f>
        <v>5</v>
      </c>
      <c r="F192" s="139">
        <f>8*0.75</f>
        <v>6</v>
      </c>
      <c r="G192" s="96">
        <f>F192*4+E192*9+D192*4</f>
        <v>89</v>
      </c>
      <c r="H192" s="139">
        <v>0.08</v>
      </c>
      <c r="I192" s="139">
        <v>2.6</v>
      </c>
      <c r="J192" s="139">
        <v>0.4</v>
      </c>
      <c r="K192" s="139">
        <v>0.5</v>
      </c>
      <c r="L192" s="139">
        <v>240</v>
      </c>
      <c r="M192" s="139">
        <v>180</v>
      </c>
      <c r="N192" s="139">
        <v>28</v>
      </c>
      <c r="O192" s="139">
        <v>0.2</v>
      </c>
    </row>
    <row r="193" spans="1:15" ht="17.100000000000001" customHeight="1" x14ac:dyDescent="0.3">
      <c r="A193" s="157"/>
      <c r="B193" s="154" t="s">
        <v>95</v>
      </c>
      <c r="C193" s="130">
        <f>SUM(C185:C192)</f>
        <v>815</v>
      </c>
      <c r="D193" s="131">
        <f t="shared" ref="D193:O193" si="41">SUM(D185:D192)</f>
        <v>31.866</v>
      </c>
      <c r="E193" s="131">
        <f t="shared" si="41"/>
        <v>35.599999999999994</v>
      </c>
      <c r="F193" s="131">
        <f t="shared" si="41"/>
        <v>110.05</v>
      </c>
      <c r="G193" s="131">
        <f t="shared" si="41"/>
        <v>888.06399999999996</v>
      </c>
      <c r="H193" s="131">
        <f t="shared" si="41"/>
        <v>0.437</v>
      </c>
      <c r="I193" s="131">
        <f t="shared" si="41"/>
        <v>16.829000000000001</v>
      </c>
      <c r="J193" s="131">
        <f t="shared" si="41"/>
        <v>1.1497000000000002</v>
      </c>
      <c r="K193" s="131">
        <f t="shared" si="41"/>
        <v>5.785000000000001</v>
      </c>
      <c r="L193" s="131">
        <f t="shared" si="41"/>
        <v>449.73</v>
      </c>
      <c r="M193" s="131">
        <f t="shared" si="41"/>
        <v>552.9</v>
      </c>
      <c r="N193" s="131">
        <f t="shared" si="41"/>
        <v>128.16000000000003</v>
      </c>
      <c r="O193" s="131">
        <f t="shared" si="41"/>
        <v>5.2</v>
      </c>
    </row>
    <row r="194" spans="1:15" ht="17.100000000000001" customHeight="1" x14ac:dyDescent="0.3">
      <c r="A194" s="158"/>
      <c r="B194" s="159"/>
      <c r="C194" s="159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</row>
    <row r="195" spans="1:15" ht="17.100000000000001" customHeight="1" x14ac:dyDescent="0.3">
      <c r="A195" s="161"/>
      <c r="B195" s="161"/>
      <c r="C195" s="161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spans="1:15" ht="17.100000000000001" customHeight="1" x14ac:dyDescent="0.3">
      <c r="E196" s="20">
        <v>10</v>
      </c>
    </row>
    <row r="197" spans="1:15" ht="17.100000000000001" customHeight="1" x14ac:dyDescent="0.3">
      <c r="A197" s="328" t="s">
        <v>48</v>
      </c>
      <c r="B197" s="329"/>
      <c r="C197" s="163">
        <v>6605</v>
      </c>
      <c r="D197" s="164">
        <f>D12+D31+D51+D69+D87+D106+D125+D145+D163+D183</f>
        <v>217.30979111749861</v>
      </c>
      <c r="E197" s="164">
        <f t="shared" ref="E197:O197" si="42">E12+E31+E51+E69+E87+E106+E125+E145+E163+E183</f>
        <v>197.69528253376848</v>
      </c>
      <c r="F197" s="164">
        <f t="shared" si="42"/>
        <v>855.13844434690964</v>
      </c>
      <c r="G197" s="164">
        <f t="shared" si="42"/>
        <v>6170.6764846615479</v>
      </c>
      <c r="H197" s="164">
        <f t="shared" si="42"/>
        <v>3.8827173741775485</v>
      </c>
      <c r="I197" s="164">
        <f t="shared" si="42"/>
        <v>196.89215202471718</v>
      </c>
      <c r="J197" s="164">
        <f t="shared" si="42"/>
        <v>10.430999999999999</v>
      </c>
      <c r="K197" s="164">
        <f t="shared" si="42"/>
        <v>51.329027936808473</v>
      </c>
      <c r="L197" s="164">
        <f t="shared" si="42"/>
        <v>2784.4441882403457</v>
      </c>
      <c r="M197" s="164">
        <f t="shared" si="42"/>
        <v>4087.2264532697191</v>
      </c>
      <c r="N197" s="164">
        <f t="shared" si="42"/>
        <v>1125.7848757270176</v>
      </c>
      <c r="O197" s="164">
        <f t="shared" si="42"/>
        <v>111.89941463647075</v>
      </c>
    </row>
    <row r="198" spans="1:15" ht="17.100000000000001" customHeight="1" x14ac:dyDescent="0.3">
      <c r="A198" s="328" t="s">
        <v>49</v>
      </c>
      <c r="B198" s="329"/>
      <c r="C198" s="163">
        <v>660.5</v>
      </c>
      <c r="D198" s="92">
        <f>D197/10</f>
        <v>21.730979111749861</v>
      </c>
      <c r="E198" s="92">
        <f t="shared" ref="E198:O198" si="43">E197/10</f>
        <v>19.769528253376848</v>
      </c>
      <c r="F198" s="92">
        <f t="shared" si="43"/>
        <v>85.513844434690967</v>
      </c>
      <c r="G198" s="92">
        <f t="shared" si="43"/>
        <v>617.06764846615476</v>
      </c>
      <c r="H198" s="92">
        <f t="shared" si="43"/>
        <v>0.38827173741775484</v>
      </c>
      <c r="I198" s="92">
        <f t="shared" si="43"/>
        <v>19.689215202471718</v>
      </c>
      <c r="J198" s="92">
        <f t="shared" si="43"/>
        <v>1.0430999999999999</v>
      </c>
      <c r="K198" s="92">
        <f t="shared" si="43"/>
        <v>5.1329027936808469</v>
      </c>
      <c r="L198" s="92">
        <f t="shared" si="43"/>
        <v>278.44441882403459</v>
      </c>
      <c r="M198" s="92">
        <f t="shared" si="43"/>
        <v>408.72264532697193</v>
      </c>
      <c r="N198" s="92">
        <f t="shared" si="43"/>
        <v>112.57848757270176</v>
      </c>
      <c r="O198" s="92">
        <f t="shared" si="43"/>
        <v>11.189941463647076</v>
      </c>
    </row>
    <row r="199" spans="1:15" ht="17.100000000000001" customHeight="1" x14ac:dyDescent="0.3">
      <c r="A199" s="328" t="s">
        <v>50</v>
      </c>
      <c r="B199" s="329"/>
      <c r="C199" s="163"/>
      <c r="D199" s="165">
        <f>4*D198/$G$198</f>
        <v>0.1408661054635845</v>
      </c>
      <c r="E199" s="165">
        <f t="shared" ref="E199:F199" si="44">4*E198/$G$198</f>
        <v>0.12815144856495375</v>
      </c>
      <c r="F199" s="165">
        <f t="shared" si="44"/>
        <v>0.55432395230735398</v>
      </c>
      <c r="G199" s="166"/>
      <c r="H199" s="92"/>
      <c r="I199" s="92"/>
      <c r="J199" s="92"/>
      <c r="K199" s="92"/>
      <c r="L199" s="92"/>
      <c r="M199" s="92"/>
      <c r="N199" s="92"/>
      <c r="O199" s="92"/>
    </row>
    <row r="200" spans="1:15" ht="17.100000000000001" customHeight="1" x14ac:dyDescent="0.3">
      <c r="A200" s="328" t="s">
        <v>51</v>
      </c>
      <c r="B200" s="329"/>
      <c r="C200" s="163"/>
      <c r="D200" s="167">
        <f>D198/D208</f>
        <v>0.28222050794480336</v>
      </c>
      <c r="E200" s="167">
        <f t="shared" ref="E200:O200" si="45">E198/E208</f>
        <v>0.25024719308071958</v>
      </c>
      <c r="F200" s="167">
        <f t="shared" si="45"/>
        <v>0.25526520726773422</v>
      </c>
      <c r="G200" s="167">
        <f t="shared" si="45"/>
        <v>0.26258197807070416</v>
      </c>
      <c r="H200" s="167">
        <f t="shared" si="45"/>
        <v>0.2773369552983963</v>
      </c>
      <c r="I200" s="167">
        <f t="shared" si="45"/>
        <v>0.32815358670786199</v>
      </c>
      <c r="J200" s="167">
        <f t="shared" si="45"/>
        <v>1.4901428571428572</v>
      </c>
      <c r="K200" s="167">
        <f t="shared" si="45"/>
        <v>0.51329027936808469</v>
      </c>
      <c r="L200" s="167">
        <f t="shared" si="45"/>
        <v>0.25313128984003141</v>
      </c>
      <c r="M200" s="167">
        <f t="shared" si="45"/>
        <v>0.24771069413755875</v>
      </c>
      <c r="N200" s="167">
        <f t="shared" si="45"/>
        <v>0.45031395029080706</v>
      </c>
      <c r="O200" s="167">
        <f t="shared" si="45"/>
        <v>0.93249512197058959</v>
      </c>
    </row>
    <row r="201" spans="1:15" ht="17.100000000000001" customHeight="1" x14ac:dyDescent="0.3">
      <c r="A201" s="325" t="s">
        <v>53</v>
      </c>
      <c r="B201" s="326"/>
      <c r="C201" s="168">
        <v>9775</v>
      </c>
      <c r="D201" s="164">
        <f>D22+D41+D60+D78+D96+D115+D134+D155+D172+D193</f>
        <v>290.57599999999996</v>
      </c>
      <c r="E201" s="164">
        <f t="shared" ref="E201:O201" si="46">E22+E41+E60+E78+E96+E115+E134+E155+E172+E193</f>
        <v>291.447</v>
      </c>
      <c r="F201" s="164">
        <f t="shared" si="46"/>
        <v>1137.855</v>
      </c>
      <c r="G201" s="164">
        <f t="shared" si="46"/>
        <v>8337.5469999999987</v>
      </c>
      <c r="H201" s="164">
        <f t="shared" si="46"/>
        <v>4.9160000000000004</v>
      </c>
      <c r="I201" s="164">
        <f t="shared" si="46"/>
        <v>393.483</v>
      </c>
      <c r="J201" s="164">
        <f t="shared" si="46"/>
        <v>11.251700000000003</v>
      </c>
      <c r="K201" s="164">
        <f t="shared" si="46"/>
        <v>31.007800000000003</v>
      </c>
      <c r="L201" s="164">
        <f t="shared" si="46"/>
        <v>3720.87</v>
      </c>
      <c r="M201" s="164">
        <f t="shared" si="46"/>
        <v>5084.3099999999995</v>
      </c>
      <c r="N201" s="164">
        <f t="shared" si="46"/>
        <v>1308.7300000000002</v>
      </c>
      <c r="O201" s="164">
        <f t="shared" si="46"/>
        <v>79.355999999999995</v>
      </c>
    </row>
    <row r="202" spans="1:15" ht="17.100000000000001" customHeight="1" x14ac:dyDescent="0.3">
      <c r="A202" s="325" t="s">
        <v>54</v>
      </c>
      <c r="B202" s="326"/>
      <c r="C202" s="168">
        <v>977.5</v>
      </c>
      <c r="D202" s="92">
        <f>D201/10</f>
        <v>29.057599999999997</v>
      </c>
      <c r="E202" s="92">
        <f t="shared" ref="E202:O202" si="47">E201/10</f>
        <v>29.1447</v>
      </c>
      <c r="F202" s="92">
        <f t="shared" si="47"/>
        <v>113.7855</v>
      </c>
      <c r="G202" s="92">
        <f t="shared" si="47"/>
        <v>833.75469999999984</v>
      </c>
      <c r="H202" s="92">
        <f t="shared" si="47"/>
        <v>0.49160000000000004</v>
      </c>
      <c r="I202" s="92">
        <f t="shared" si="47"/>
        <v>39.348300000000002</v>
      </c>
      <c r="J202" s="92">
        <f t="shared" si="47"/>
        <v>1.1251700000000002</v>
      </c>
      <c r="K202" s="92">
        <f t="shared" si="47"/>
        <v>3.1007800000000003</v>
      </c>
      <c r="L202" s="92">
        <f t="shared" si="47"/>
        <v>372.08699999999999</v>
      </c>
      <c r="M202" s="92">
        <f t="shared" si="47"/>
        <v>508.43099999999993</v>
      </c>
      <c r="N202" s="92">
        <f t="shared" si="47"/>
        <v>130.87300000000002</v>
      </c>
      <c r="O202" s="92">
        <f t="shared" si="47"/>
        <v>7.9355999999999991</v>
      </c>
    </row>
    <row r="203" spans="1:15" ht="17.100000000000001" customHeight="1" x14ac:dyDescent="0.3">
      <c r="A203" s="325" t="s">
        <v>50</v>
      </c>
      <c r="B203" s="326"/>
      <c r="C203" s="168"/>
      <c r="D203" s="165">
        <f>4*D202/$G$202</f>
        <v>0.13940599075483473</v>
      </c>
      <c r="E203" s="165">
        <f t="shared" ref="E203:F203" si="48">4*E202/$G$202</f>
        <v>0.13982385946370079</v>
      </c>
      <c r="F203" s="165">
        <f t="shared" si="48"/>
        <v>0.54589437396874652</v>
      </c>
      <c r="G203" s="92"/>
      <c r="H203" s="92"/>
      <c r="I203" s="92"/>
      <c r="J203" s="92"/>
      <c r="K203" s="92"/>
      <c r="L203" s="92"/>
      <c r="M203" s="92"/>
      <c r="N203" s="92"/>
      <c r="O203" s="92"/>
    </row>
    <row r="204" spans="1:15" ht="17.100000000000001" customHeight="1" x14ac:dyDescent="0.3">
      <c r="A204" s="325" t="s">
        <v>51</v>
      </c>
      <c r="B204" s="326"/>
      <c r="C204" s="168"/>
      <c r="D204" s="169">
        <f>D202/D208</f>
        <v>0.37737142857142852</v>
      </c>
      <c r="E204" s="169">
        <f t="shared" ref="E204:O204" si="49">E202/E208</f>
        <v>0.36892025316455695</v>
      </c>
      <c r="F204" s="169">
        <f t="shared" si="49"/>
        <v>0.33965820895522386</v>
      </c>
      <c r="G204" s="169">
        <f t="shared" si="49"/>
        <v>0.35478923404255314</v>
      </c>
      <c r="H204" s="169">
        <f t="shared" si="49"/>
        <v>0.3511428571428572</v>
      </c>
      <c r="I204" s="169">
        <f t="shared" si="49"/>
        <v>0.65580500000000008</v>
      </c>
      <c r="J204" s="169">
        <f t="shared" si="49"/>
        <v>1.6073857142857146</v>
      </c>
      <c r="K204" s="169">
        <f t="shared" si="49"/>
        <v>0.31007800000000002</v>
      </c>
      <c r="L204" s="169">
        <f t="shared" si="49"/>
        <v>0.33826090909090906</v>
      </c>
      <c r="M204" s="169">
        <f t="shared" si="49"/>
        <v>0.30813999999999997</v>
      </c>
      <c r="N204" s="169">
        <f t="shared" si="49"/>
        <v>0.52349200000000007</v>
      </c>
      <c r="O204" s="169">
        <f t="shared" si="49"/>
        <v>0.66129999999999989</v>
      </c>
    </row>
    <row r="205" spans="1:15" ht="17.100000000000001" customHeight="1" x14ac:dyDescent="0.3">
      <c r="A205" s="330" t="s">
        <v>57</v>
      </c>
      <c r="B205" s="331"/>
      <c r="C205" s="170"/>
      <c r="D205" s="171">
        <f>D197+D201</f>
        <v>507.88579111749857</v>
      </c>
      <c r="E205" s="171">
        <f t="shared" ref="E205:O206" si="50">E197+E201</f>
        <v>489.14228253376848</v>
      </c>
      <c r="F205" s="171">
        <f t="shared" si="50"/>
        <v>1992.9934443469097</v>
      </c>
      <c r="G205" s="171">
        <f t="shared" si="50"/>
        <v>14508.223484661547</v>
      </c>
      <c r="H205" s="171">
        <f t="shared" si="50"/>
        <v>8.7987173741775493</v>
      </c>
      <c r="I205" s="171">
        <f t="shared" si="50"/>
        <v>590.37515202471718</v>
      </c>
      <c r="J205" s="171">
        <f t="shared" si="50"/>
        <v>21.682700000000004</v>
      </c>
      <c r="K205" s="171">
        <f t="shared" si="50"/>
        <v>82.336827936808476</v>
      </c>
      <c r="L205" s="171">
        <f t="shared" si="50"/>
        <v>6505.3141882403452</v>
      </c>
      <c r="M205" s="171">
        <f t="shared" si="50"/>
        <v>9171.5364532697185</v>
      </c>
      <c r="N205" s="171">
        <f t="shared" si="50"/>
        <v>2434.5148757270181</v>
      </c>
      <c r="O205" s="171">
        <f t="shared" si="50"/>
        <v>191.25541463647073</v>
      </c>
    </row>
    <row r="206" spans="1:15" ht="17.100000000000001" customHeight="1" x14ac:dyDescent="0.3">
      <c r="A206" s="330" t="s">
        <v>58</v>
      </c>
      <c r="B206" s="331"/>
      <c r="C206" s="170"/>
      <c r="D206" s="92">
        <f>D198+D202</f>
        <v>50.788579111749854</v>
      </c>
      <c r="E206" s="92">
        <f t="shared" si="50"/>
        <v>48.914228253376848</v>
      </c>
      <c r="F206" s="92">
        <f t="shared" si="50"/>
        <v>199.29934443469097</v>
      </c>
      <c r="G206" s="92">
        <f t="shared" si="50"/>
        <v>1450.8223484661546</v>
      </c>
      <c r="H206" s="92">
        <f t="shared" si="50"/>
        <v>0.87987173741775493</v>
      </c>
      <c r="I206" s="92">
        <f t="shared" si="50"/>
        <v>59.037515202471724</v>
      </c>
      <c r="J206" s="92">
        <f t="shared" si="50"/>
        <v>2.1682700000000001</v>
      </c>
      <c r="K206" s="92">
        <f t="shared" si="50"/>
        <v>8.2336827936808472</v>
      </c>
      <c r="L206" s="92">
        <f t="shared" si="50"/>
        <v>650.53141882403452</v>
      </c>
      <c r="M206" s="92">
        <f t="shared" si="50"/>
        <v>917.15364532697185</v>
      </c>
      <c r="N206" s="92">
        <f t="shared" si="50"/>
        <v>243.45148757270178</v>
      </c>
      <c r="O206" s="92">
        <f t="shared" si="50"/>
        <v>19.125541463647075</v>
      </c>
    </row>
    <row r="207" spans="1:15" ht="17.100000000000001" customHeight="1" x14ac:dyDescent="0.3">
      <c r="A207" s="330" t="s">
        <v>50</v>
      </c>
      <c r="B207" s="331"/>
      <c r="C207" s="170"/>
      <c r="D207" s="165">
        <f>4*D206/$G$206</f>
        <v>0.14002701065487391</v>
      </c>
      <c r="E207" s="165">
        <f t="shared" ref="E207:F207" si="51">4*E206/$G$206</f>
        <v>0.13485931838612822</v>
      </c>
      <c r="F207" s="165">
        <f t="shared" si="51"/>
        <v>0.54947966481325627</v>
      </c>
      <c r="G207" s="92"/>
      <c r="H207" s="92"/>
      <c r="I207" s="92"/>
      <c r="J207" s="92"/>
      <c r="K207" s="92"/>
      <c r="L207" s="92"/>
      <c r="M207" s="92"/>
      <c r="N207" s="92"/>
      <c r="O207" s="92"/>
    </row>
    <row r="208" spans="1:15" ht="17.100000000000001" customHeight="1" x14ac:dyDescent="0.3">
      <c r="A208" s="330" t="s">
        <v>59</v>
      </c>
      <c r="B208" s="331"/>
      <c r="C208" s="170"/>
      <c r="D208" s="21">
        <v>77</v>
      </c>
      <c r="E208" s="21">
        <v>79</v>
      </c>
      <c r="F208" s="21">
        <v>335</v>
      </c>
      <c r="G208" s="21">
        <v>2350</v>
      </c>
      <c r="H208" s="21">
        <v>1.4</v>
      </c>
      <c r="I208" s="21">
        <v>60</v>
      </c>
      <c r="J208" s="21">
        <v>0.7</v>
      </c>
      <c r="K208" s="172">
        <v>10</v>
      </c>
      <c r="L208" s="21">
        <v>1100</v>
      </c>
      <c r="M208" s="21">
        <v>1650</v>
      </c>
      <c r="N208" s="21">
        <v>250</v>
      </c>
      <c r="O208" s="21">
        <v>12</v>
      </c>
    </row>
    <row r="209" spans="1:15" ht="17.100000000000001" customHeight="1" x14ac:dyDescent="0.3">
      <c r="A209" s="330"/>
      <c r="B209" s="331"/>
      <c r="C209" s="170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</row>
    <row r="210" spans="1:15" ht="17.100000000000001" customHeight="1" x14ac:dyDescent="0.3">
      <c r="A210" s="330" t="s">
        <v>51</v>
      </c>
      <c r="B210" s="331"/>
      <c r="C210" s="170"/>
      <c r="D210" s="22">
        <f>D206/D208</f>
        <v>0.65959193651623182</v>
      </c>
      <c r="E210" s="22">
        <f t="shared" ref="E210:O210" si="52">E206/E208</f>
        <v>0.61916744624527653</v>
      </c>
      <c r="F210" s="22">
        <f t="shared" si="52"/>
        <v>0.59492341622295808</v>
      </c>
      <c r="G210" s="22">
        <f t="shared" si="52"/>
        <v>0.61737121211325729</v>
      </c>
      <c r="H210" s="22">
        <f t="shared" si="52"/>
        <v>0.62847981244125362</v>
      </c>
      <c r="I210" s="22">
        <f t="shared" si="52"/>
        <v>0.98395858670786207</v>
      </c>
      <c r="J210" s="22">
        <f t="shared" si="52"/>
        <v>3.0975285714285716</v>
      </c>
      <c r="K210" s="22">
        <f t="shared" si="52"/>
        <v>0.82336827936808477</v>
      </c>
      <c r="L210" s="22">
        <f t="shared" si="52"/>
        <v>0.59139219893094042</v>
      </c>
      <c r="M210" s="22">
        <f t="shared" si="52"/>
        <v>0.55585069413755872</v>
      </c>
      <c r="N210" s="22">
        <f t="shared" si="52"/>
        <v>0.97380595029080708</v>
      </c>
      <c r="O210" s="22">
        <f t="shared" si="52"/>
        <v>1.5937951219705895</v>
      </c>
    </row>
  </sheetData>
  <mergeCells count="53">
    <mergeCell ref="A208:B208"/>
    <mergeCell ref="A209:B209"/>
    <mergeCell ref="A210:B210"/>
    <mergeCell ref="A202:B202"/>
    <mergeCell ref="A203:B203"/>
    <mergeCell ref="A204:B204"/>
    <mergeCell ref="A205:B205"/>
    <mergeCell ref="A206:B206"/>
    <mergeCell ref="A207:B207"/>
    <mergeCell ref="A201:B201"/>
    <mergeCell ref="A146:O146"/>
    <mergeCell ref="A156:B156"/>
    <mergeCell ref="A157:O157"/>
    <mergeCell ref="A164:O164"/>
    <mergeCell ref="A173:B173"/>
    <mergeCell ref="A174:O174"/>
    <mergeCell ref="B184:O184"/>
    <mergeCell ref="A197:B197"/>
    <mergeCell ref="A198:B198"/>
    <mergeCell ref="A199:B199"/>
    <mergeCell ref="A200:B200"/>
    <mergeCell ref="A136:O136"/>
    <mergeCell ref="A70:O70"/>
    <mergeCell ref="A79:B79"/>
    <mergeCell ref="A80:O80"/>
    <mergeCell ref="A88:O88"/>
    <mergeCell ref="A97:B97"/>
    <mergeCell ref="A98:O98"/>
    <mergeCell ref="A107:O107"/>
    <mergeCell ref="A116:B116"/>
    <mergeCell ref="A117:O117"/>
    <mergeCell ref="A126:O126"/>
    <mergeCell ref="A135:B135"/>
    <mergeCell ref="A62:O62"/>
    <mergeCell ref="H4:K4"/>
    <mergeCell ref="L4:O4"/>
    <mergeCell ref="A6:O6"/>
    <mergeCell ref="A14:O14"/>
    <mergeCell ref="A23:B23"/>
    <mergeCell ref="A24:O24"/>
    <mergeCell ref="A32:O32"/>
    <mergeCell ref="A42:B42"/>
    <mergeCell ref="A43:O43"/>
    <mergeCell ref="A52:O52"/>
    <mergeCell ref="A61:B61"/>
    <mergeCell ref="A1:O1"/>
    <mergeCell ref="A2:B2"/>
    <mergeCell ref="A3:G3"/>
    <mergeCell ref="A4:A5"/>
    <mergeCell ref="B4:B5"/>
    <mergeCell ref="C4:C5"/>
    <mergeCell ref="D4:F4"/>
    <mergeCell ref="G4:G5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9" max="16383" man="1"/>
    <brk id="61" max="15" man="1"/>
    <brk id="82" max="16383" man="1"/>
    <brk id="109" max="16383" man="1"/>
    <brk id="136" max="16383" man="1"/>
    <brk id="163" max="16383" man="1"/>
    <brk id="19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H310"/>
  <sheetViews>
    <sheetView topLeftCell="A244" zoomScale="75" zoomScaleNormal="75" workbookViewId="0">
      <selection activeCell="G221" sqref="G221"/>
    </sheetView>
    <sheetView topLeftCell="B7" workbookViewId="1">
      <selection activeCell="G15" sqref="G15"/>
    </sheetView>
  </sheetViews>
  <sheetFormatPr defaultColWidth="9.140625" defaultRowHeight="12.75" x14ac:dyDescent="0.2"/>
  <cols>
    <col min="1" max="1" width="5.5703125" style="210" customWidth="1"/>
    <col min="2" max="2" width="4.140625" style="210" customWidth="1"/>
    <col min="3" max="3" width="44.5703125" style="85" customWidth="1"/>
    <col min="4" max="4" width="6.42578125" style="86" customWidth="1"/>
    <col min="5" max="5" width="5.42578125" style="31" customWidth="1"/>
    <col min="6" max="6" width="16.7109375" style="88" customWidth="1"/>
    <col min="7" max="7" width="34" style="31" customWidth="1"/>
    <col min="8" max="8" width="6.42578125" style="264" customWidth="1"/>
    <col min="9" max="9" width="13.42578125" style="31" customWidth="1"/>
    <col min="10" max="16384" width="9.140625" style="31"/>
  </cols>
  <sheetData>
    <row r="1" spans="1:8" s="25" customFormat="1" x14ac:dyDescent="0.2">
      <c r="A1" s="174"/>
      <c r="B1" s="174"/>
      <c r="C1" s="23"/>
      <c r="D1" s="24"/>
      <c r="F1" s="26"/>
      <c r="H1" s="242"/>
    </row>
    <row r="2" spans="1:8" x14ac:dyDescent="0.2">
      <c r="A2" s="32"/>
      <c r="B2" s="32"/>
      <c r="C2" s="27"/>
      <c r="D2" s="28"/>
      <c r="F2" s="30"/>
      <c r="G2" s="29"/>
      <c r="H2" s="243"/>
    </row>
    <row r="3" spans="1:8" ht="21.75" customHeight="1" x14ac:dyDescent="0.2">
      <c r="A3" s="353" t="s">
        <v>276</v>
      </c>
      <c r="B3" s="354"/>
      <c r="C3" s="354"/>
      <c r="D3" s="354"/>
      <c r="E3" s="354"/>
      <c r="F3" s="354"/>
      <c r="G3" s="354"/>
      <c r="H3" s="354"/>
    </row>
    <row r="4" spans="1:8" x14ac:dyDescent="0.2">
      <c r="A4" s="352"/>
      <c r="B4" s="352"/>
      <c r="C4" s="352"/>
      <c r="D4" s="266"/>
      <c r="F4" s="353"/>
      <c r="G4" s="353"/>
      <c r="H4" s="244"/>
    </row>
    <row r="5" spans="1:8" x14ac:dyDescent="0.2">
      <c r="A5" s="32"/>
      <c r="B5" s="32"/>
      <c r="C5" s="218" t="s">
        <v>195</v>
      </c>
      <c r="D5" s="28"/>
      <c r="F5" s="222"/>
      <c r="G5" s="218" t="s">
        <v>196</v>
      </c>
      <c r="H5" s="243"/>
    </row>
    <row r="6" spans="1:8" s="35" customFormat="1" x14ac:dyDescent="0.25">
      <c r="A6" s="175"/>
      <c r="B6" s="175"/>
      <c r="C6" s="32"/>
      <c r="D6" s="28"/>
      <c r="F6" s="34"/>
      <c r="G6" s="33"/>
      <c r="H6" s="245"/>
    </row>
    <row r="7" spans="1:8" s="36" customFormat="1" ht="12.75" customHeight="1" x14ac:dyDescent="0.25">
      <c r="A7" s="361" t="s">
        <v>0</v>
      </c>
      <c r="B7" s="176"/>
      <c r="C7" s="361" t="s">
        <v>1</v>
      </c>
      <c r="D7" s="363" t="s">
        <v>2</v>
      </c>
      <c r="F7" s="355"/>
      <c r="G7" s="357" t="s">
        <v>1</v>
      </c>
      <c r="H7" s="359" t="s">
        <v>2</v>
      </c>
    </row>
    <row r="8" spans="1:8" s="36" customFormat="1" x14ac:dyDescent="0.25">
      <c r="A8" s="362"/>
      <c r="B8" s="177"/>
      <c r="C8" s="362"/>
      <c r="D8" s="364"/>
      <c r="F8" s="356"/>
      <c r="G8" s="358"/>
      <c r="H8" s="360"/>
    </row>
    <row r="9" spans="1:8" s="36" customFormat="1" ht="12.75" customHeight="1" x14ac:dyDescent="0.25">
      <c r="A9" s="219" t="s">
        <v>80</v>
      </c>
      <c r="B9" s="83"/>
      <c r="C9" s="83"/>
      <c r="D9" s="245"/>
      <c r="F9" s="81"/>
      <c r="G9" s="36" t="s">
        <v>80</v>
      </c>
      <c r="H9" s="246"/>
    </row>
    <row r="10" spans="1:8" s="37" customFormat="1" ht="13.5" x14ac:dyDescent="0.25">
      <c r="A10" s="220" t="s">
        <v>97</v>
      </c>
      <c r="B10" s="220"/>
      <c r="C10" s="220"/>
      <c r="D10" s="267"/>
      <c r="F10" s="89"/>
      <c r="H10" s="38"/>
    </row>
    <row r="11" spans="1:8" s="40" customFormat="1" ht="25.5" customHeight="1" x14ac:dyDescent="0.25">
      <c r="A11" s="39"/>
      <c r="B11" s="39"/>
      <c r="C11" s="39" t="s">
        <v>82</v>
      </c>
      <c r="D11" s="39">
        <v>230</v>
      </c>
      <c r="F11" s="223">
        <v>173</v>
      </c>
      <c r="G11" s="41" t="s">
        <v>197</v>
      </c>
      <c r="H11" s="247">
        <v>200</v>
      </c>
    </row>
    <row r="12" spans="1:8" s="40" customFormat="1" ht="25.5" x14ac:dyDescent="0.25">
      <c r="A12" s="39"/>
      <c r="B12" s="39"/>
      <c r="C12" s="39" t="s">
        <v>81</v>
      </c>
      <c r="D12" s="39">
        <v>40</v>
      </c>
      <c r="F12" s="223"/>
      <c r="G12" s="39" t="s">
        <v>81</v>
      </c>
      <c r="H12" s="39">
        <v>40</v>
      </c>
    </row>
    <row r="13" spans="1:8" s="40" customFormat="1" x14ac:dyDescent="0.25">
      <c r="A13" s="39"/>
      <c r="B13" s="39"/>
      <c r="C13" s="39" t="s">
        <v>85</v>
      </c>
      <c r="D13" s="39">
        <v>120</v>
      </c>
      <c r="F13" s="42"/>
      <c r="G13" s="41" t="s">
        <v>198</v>
      </c>
      <c r="H13" s="247">
        <v>120</v>
      </c>
    </row>
    <row r="14" spans="1:8" s="40" customFormat="1" x14ac:dyDescent="0.25">
      <c r="A14" s="39"/>
      <c r="B14" s="39"/>
      <c r="C14" s="39" t="s">
        <v>83</v>
      </c>
      <c r="D14" s="39">
        <v>200</v>
      </c>
      <c r="F14" s="224" t="s">
        <v>199</v>
      </c>
      <c r="G14" s="41" t="s">
        <v>282</v>
      </c>
      <c r="H14" s="248">
        <v>180</v>
      </c>
    </row>
    <row r="15" spans="1:8" s="40" customFormat="1" x14ac:dyDescent="0.25">
      <c r="A15" s="39"/>
      <c r="B15" s="39"/>
      <c r="C15" s="39" t="s">
        <v>84</v>
      </c>
      <c r="D15" s="39">
        <v>20</v>
      </c>
      <c r="F15" s="42"/>
      <c r="G15" s="39" t="s">
        <v>84</v>
      </c>
      <c r="H15" s="39">
        <v>20</v>
      </c>
    </row>
    <row r="16" spans="1:8" s="40" customFormat="1" ht="13.5" customHeight="1" x14ac:dyDescent="0.25">
      <c r="A16" s="332" t="s">
        <v>200</v>
      </c>
      <c r="B16" s="333"/>
      <c r="C16" s="334"/>
      <c r="D16" s="178">
        <f>SUM(D11:D15)</f>
        <v>610</v>
      </c>
      <c r="F16" s="82"/>
      <c r="G16" s="47" t="s">
        <v>200</v>
      </c>
      <c r="H16" s="46">
        <f>SUM(H11:H15)</f>
        <v>560</v>
      </c>
    </row>
    <row r="17" spans="1:8" s="49" customFormat="1" ht="13.5" x14ac:dyDescent="0.25">
      <c r="A17" s="179"/>
      <c r="B17" s="179"/>
      <c r="C17" s="179"/>
      <c r="D17" s="180"/>
      <c r="F17" s="73"/>
      <c r="H17" s="50"/>
    </row>
    <row r="18" spans="1:8" s="49" customFormat="1" ht="13.5" customHeight="1" x14ac:dyDescent="0.25">
      <c r="A18" s="179"/>
      <c r="B18" s="179"/>
      <c r="C18" s="179"/>
      <c r="D18" s="180"/>
      <c r="F18" s="213"/>
      <c r="G18" s="349" t="s">
        <v>201</v>
      </c>
      <c r="H18" s="349"/>
    </row>
    <row r="19" spans="1:8" s="49" customFormat="1" ht="13.5" x14ac:dyDescent="0.25">
      <c r="A19" s="179"/>
      <c r="B19" s="179"/>
      <c r="C19" s="179"/>
      <c r="D19" s="180"/>
      <c r="F19" s="225">
        <v>242</v>
      </c>
      <c r="G19" s="41" t="s">
        <v>202</v>
      </c>
      <c r="H19" s="247">
        <v>125</v>
      </c>
    </row>
    <row r="20" spans="1:8" s="49" customFormat="1" ht="13.5" x14ac:dyDescent="0.25">
      <c r="A20" s="179"/>
      <c r="B20" s="179"/>
      <c r="C20" s="179"/>
      <c r="D20" s="180"/>
      <c r="F20" s="42" t="s">
        <v>204</v>
      </c>
      <c r="G20" s="41" t="s">
        <v>203</v>
      </c>
      <c r="H20" s="247">
        <v>125</v>
      </c>
    </row>
    <row r="21" spans="1:8" s="49" customFormat="1" ht="13.5" x14ac:dyDescent="0.25">
      <c r="A21" s="179"/>
      <c r="B21" s="179"/>
      <c r="C21" s="179"/>
      <c r="D21" s="180"/>
      <c r="F21" s="226"/>
      <c r="G21" s="43"/>
      <c r="H21" s="248"/>
    </row>
    <row r="22" spans="1:8" s="37" customFormat="1" ht="27" customHeight="1" x14ac:dyDescent="0.25">
      <c r="A22" s="181"/>
      <c r="B22" s="181"/>
      <c r="C22" s="181"/>
      <c r="D22" s="182"/>
      <c r="F22" s="345" t="s">
        <v>206</v>
      </c>
      <c r="G22" s="346" t="s">
        <v>206</v>
      </c>
      <c r="H22" s="46">
        <f>SUM(H19:H21)</f>
        <v>250</v>
      </c>
    </row>
    <row r="23" spans="1:8" s="37" customFormat="1" ht="13.5" x14ac:dyDescent="0.25">
      <c r="A23" s="83" t="s">
        <v>22</v>
      </c>
      <c r="B23" s="83"/>
      <c r="C23" s="83"/>
      <c r="D23" s="245"/>
      <c r="F23" s="89"/>
      <c r="H23" s="38"/>
    </row>
    <row r="24" spans="1:8" s="40" customFormat="1" ht="32.25" customHeight="1" x14ac:dyDescent="0.2">
      <c r="A24" s="39"/>
      <c r="B24" s="39"/>
      <c r="C24" s="39" t="s">
        <v>88</v>
      </c>
      <c r="D24" s="193">
        <v>250</v>
      </c>
      <c r="F24" s="223">
        <v>113</v>
      </c>
      <c r="G24" s="41" t="s">
        <v>207</v>
      </c>
      <c r="H24" s="248">
        <v>250</v>
      </c>
    </row>
    <row r="25" spans="1:8" s="40" customFormat="1" x14ac:dyDescent="0.2">
      <c r="A25" s="183">
        <v>88</v>
      </c>
      <c r="B25" s="183"/>
      <c r="C25" s="39" t="s">
        <v>89</v>
      </c>
      <c r="D25" s="193">
        <v>80</v>
      </c>
      <c r="F25" s="224"/>
      <c r="G25" s="41" t="s">
        <v>208</v>
      </c>
      <c r="H25" s="247">
        <v>90</v>
      </c>
    </row>
    <row r="26" spans="1:8" s="40" customFormat="1" x14ac:dyDescent="0.2">
      <c r="A26" s="183">
        <v>260</v>
      </c>
      <c r="B26" s="183"/>
      <c r="C26" s="39" t="s">
        <v>209</v>
      </c>
      <c r="D26" s="257">
        <v>155</v>
      </c>
      <c r="F26" s="53" t="s">
        <v>210</v>
      </c>
      <c r="G26" s="41" t="s">
        <v>211</v>
      </c>
      <c r="H26" s="249">
        <v>155</v>
      </c>
    </row>
    <row r="27" spans="1:8" s="40" customFormat="1" x14ac:dyDescent="0.2">
      <c r="A27" s="39"/>
      <c r="B27" s="39"/>
      <c r="C27" s="39" t="s">
        <v>91</v>
      </c>
      <c r="D27" s="193">
        <v>200</v>
      </c>
      <c r="F27" s="84"/>
      <c r="G27" s="54" t="s">
        <v>212</v>
      </c>
      <c r="H27" s="55">
        <v>150</v>
      </c>
    </row>
    <row r="28" spans="1:8" s="40" customFormat="1" x14ac:dyDescent="0.2">
      <c r="A28" s="39"/>
      <c r="B28" s="39"/>
      <c r="C28" s="184" t="s">
        <v>92</v>
      </c>
      <c r="D28" s="193">
        <v>200</v>
      </c>
      <c r="F28" s="224" t="s">
        <v>213</v>
      </c>
      <c r="G28" s="221" t="s">
        <v>214</v>
      </c>
      <c r="H28" s="247">
        <v>180</v>
      </c>
    </row>
    <row r="29" spans="1:8" s="40" customFormat="1" x14ac:dyDescent="0.2">
      <c r="A29" s="39"/>
      <c r="B29" s="39"/>
      <c r="C29" s="39" t="s">
        <v>93</v>
      </c>
      <c r="D29" s="193">
        <v>60</v>
      </c>
      <c r="F29" s="84"/>
      <c r="G29" s="54" t="s">
        <v>93</v>
      </c>
      <c r="H29" s="55">
        <v>70</v>
      </c>
    </row>
    <row r="30" spans="1:8" s="40" customFormat="1" x14ac:dyDescent="0.2">
      <c r="A30" s="39"/>
      <c r="B30" s="39"/>
      <c r="C30" s="39" t="s">
        <v>94</v>
      </c>
      <c r="D30" s="193">
        <v>20</v>
      </c>
      <c r="F30" s="84"/>
      <c r="G30" s="54"/>
      <c r="H30" s="55"/>
    </row>
    <row r="31" spans="1:8" s="40" customFormat="1" ht="13.5" x14ac:dyDescent="0.25">
      <c r="A31" s="185"/>
      <c r="B31" s="185"/>
      <c r="C31" s="185" t="s">
        <v>23</v>
      </c>
      <c r="D31" s="178">
        <f>SUM(D24:D30)</f>
        <v>965</v>
      </c>
      <c r="F31" s="82"/>
      <c r="G31" s="47" t="s">
        <v>95</v>
      </c>
      <c r="H31" s="57">
        <f>SUM(H24:H30)</f>
        <v>895</v>
      </c>
    </row>
    <row r="32" spans="1:8" s="49" customFormat="1" ht="13.5" customHeight="1" x14ac:dyDescent="0.25">
      <c r="A32" s="179"/>
      <c r="B32" s="179"/>
      <c r="C32" s="179"/>
      <c r="D32" s="180"/>
      <c r="F32" s="73"/>
      <c r="H32" s="50"/>
    </row>
    <row r="33" spans="1:8" s="37" customFormat="1" ht="13.5" customHeight="1" x14ac:dyDescent="0.25">
      <c r="A33" s="83"/>
      <c r="B33" s="83"/>
      <c r="C33" s="83"/>
      <c r="D33" s="245"/>
      <c r="F33" s="89"/>
      <c r="H33" s="38"/>
    </row>
    <row r="34" spans="1:8" s="40" customFormat="1" x14ac:dyDescent="0.25">
      <c r="A34" s="58"/>
      <c r="B34" s="58"/>
      <c r="C34" s="58"/>
      <c r="D34" s="58"/>
      <c r="F34" s="225">
        <v>242</v>
      </c>
      <c r="G34" s="41" t="s">
        <v>202</v>
      </c>
      <c r="H34" s="247">
        <v>125</v>
      </c>
    </row>
    <row r="35" spans="1:8" s="40" customFormat="1" x14ac:dyDescent="0.25">
      <c r="A35" s="58"/>
      <c r="B35" s="58"/>
      <c r="C35" s="58"/>
      <c r="D35" s="58"/>
      <c r="F35" s="42" t="s">
        <v>204</v>
      </c>
      <c r="G35" s="41" t="s">
        <v>219</v>
      </c>
      <c r="H35" s="247">
        <v>125</v>
      </c>
    </row>
    <row r="36" spans="1:8" s="40" customFormat="1" x14ac:dyDescent="0.25">
      <c r="A36" s="58"/>
      <c r="B36" s="58"/>
      <c r="C36" s="58"/>
      <c r="D36" s="58"/>
      <c r="F36" s="226"/>
      <c r="G36" s="43"/>
      <c r="H36" s="248"/>
    </row>
    <row r="37" spans="1:8" s="49" customFormat="1" ht="13.5" x14ac:dyDescent="0.25">
      <c r="A37" s="186"/>
      <c r="B37" s="186"/>
      <c r="C37" s="187"/>
      <c r="D37" s="188"/>
      <c r="F37" s="213"/>
      <c r="G37" s="47" t="s">
        <v>25</v>
      </c>
      <c r="H37" s="46">
        <f>SUM(H34:H36)</f>
        <v>250</v>
      </c>
    </row>
    <row r="38" spans="1:8" s="59" customFormat="1" x14ac:dyDescent="0.2">
      <c r="A38" s="189"/>
      <c r="B38" s="189"/>
      <c r="C38" s="189"/>
      <c r="D38" s="190"/>
      <c r="F38" s="61"/>
      <c r="H38" s="60"/>
    </row>
    <row r="39" spans="1:8" s="35" customFormat="1" ht="25.5" customHeight="1" x14ac:dyDescent="0.25">
      <c r="B39" s="83"/>
      <c r="C39" s="36" t="s">
        <v>27</v>
      </c>
      <c r="D39" s="245"/>
      <c r="F39" s="81"/>
      <c r="G39" s="35" t="s">
        <v>27</v>
      </c>
      <c r="H39" s="246"/>
    </row>
    <row r="40" spans="1:8" s="37" customFormat="1" ht="13.5" customHeight="1" x14ac:dyDescent="0.25">
      <c r="B40" s="83"/>
      <c r="C40" s="83" t="s">
        <v>97</v>
      </c>
      <c r="D40" s="245"/>
      <c r="F40" s="89"/>
      <c r="H40" s="38"/>
    </row>
    <row r="41" spans="1:8" s="40" customFormat="1" ht="25.5" x14ac:dyDescent="0.2">
      <c r="A41" s="39"/>
      <c r="B41" s="39"/>
      <c r="C41" s="39" t="s">
        <v>98</v>
      </c>
      <c r="D41" s="39">
        <v>60</v>
      </c>
      <c r="F41" s="84" t="s">
        <v>215</v>
      </c>
      <c r="G41" s="41" t="s">
        <v>216</v>
      </c>
      <c r="H41" s="250">
        <v>60</v>
      </c>
    </row>
    <row r="42" spans="1:8" s="40" customFormat="1" x14ac:dyDescent="0.25">
      <c r="A42" s="39"/>
      <c r="B42" s="39"/>
      <c r="C42" s="39" t="s">
        <v>99</v>
      </c>
      <c r="D42" s="39">
        <v>175</v>
      </c>
      <c r="F42" s="224" t="s">
        <v>217</v>
      </c>
      <c r="G42" s="41" t="s">
        <v>277</v>
      </c>
      <c r="H42" s="247">
        <v>230</v>
      </c>
    </row>
    <row r="43" spans="1:8" s="40" customFormat="1" x14ac:dyDescent="0.2">
      <c r="A43" s="39"/>
      <c r="B43" s="39"/>
      <c r="C43" s="39" t="s">
        <v>101</v>
      </c>
      <c r="D43" s="39">
        <v>200</v>
      </c>
      <c r="F43" s="84"/>
      <c r="G43" s="39" t="s">
        <v>285</v>
      </c>
      <c r="H43" s="250">
        <v>200</v>
      </c>
    </row>
    <row r="44" spans="1:8" s="40" customFormat="1" x14ac:dyDescent="0.25">
      <c r="A44" s="39"/>
      <c r="B44" s="39"/>
      <c r="C44" s="39" t="s">
        <v>102</v>
      </c>
      <c r="D44" s="39">
        <v>200</v>
      </c>
      <c r="F44" s="84"/>
      <c r="G44" s="39"/>
      <c r="H44" s="248"/>
    </row>
    <row r="45" spans="1:8" s="40" customFormat="1" x14ac:dyDescent="0.25">
      <c r="A45" s="39"/>
      <c r="B45" s="39"/>
      <c r="C45" s="39" t="s">
        <v>84</v>
      </c>
      <c r="D45" s="39">
        <v>25</v>
      </c>
      <c r="F45" s="42"/>
      <c r="G45" s="54" t="s">
        <v>93</v>
      </c>
      <c r="H45" s="247">
        <v>50</v>
      </c>
    </row>
    <row r="46" spans="1:8" s="40" customFormat="1" x14ac:dyDescent="0.2">
      <c r="A46" s="39"/>
      <c r="B46" s="39"/>
      <c r="C46" s="39" t="s">
        <v>94</v>
      </c>
      <c r="D46" s="39">
        <v>25</v>
      </c>
      <c r="F46" s="82"/>
      <c r="G46" s="39"/>
      <c r="H46" s="250"/>
    </row>
    <row r="47" spans="1:8" s="40" customFormat="1" ht="13.5" customHeight="1" x14ac:dyDescent="0.2">
      <c r="A47" s="332" t="s">
        <v>200</v>
      </c>
      <c r="B47" s="333"/>
      <c r="C47" s="334"/>
      <c r="D47" s="178">
        <f>SUM(D41:D46)</f>
        <v>685</v>
      </c>
      <c r="F47" s="345" t="s">
        <v>200</v>
      </c>
      <c r="G47" s="334"/>
      <c r="H47" s="250">
        <f>SUM(H41:H46)</f>
        <v>540</v>
      </c>
    </row>
    <row r="48" spans="1:8" s="49" customFormat="1" ht="13.5" x14ac:dyDescent="0.25">
      <c r="A48" s="179"/>
      <c r="B48" s="179"/>
      <c r="C48" s="179"/>
      <c r="D48" s="180"/>
      <c r="F48" s="213"/>
      <c r="G48" s="62"/>
      <c r="H48" s="251"/>
    </row>
    <row r="49" spans="1:8" s="49" customFormat="1" ht="13.5" customHeight="1" x14ac:dyDescent="0.25">
      <c r="A49" s="179"/>
      <c r="B49" s="179"/>
      <c r="C49" s="179"/>
      <c r="D49" s="180"/>
      <c r="F49" s="213"/>
      <c r="G49" s="349" t="s">
        <v>201</v>
      </c>
      <c r="H49" s="349"/>
    </row>
    <row r="50" spans="1:8" s="49" customFormat="1" ht="13.5" x14ac:dyDescent="0.25">
      <c r="A50" s="58"/>
      <c r="B50" s="58"/>
      <c r="C50" s="58"/>
      <c r="D50" s="58"/>
      <c r="F50" s="227">
        <v>372</v>
      </c>
      <c r="G50" s="41" t="s">
        <v>218</v>
      </c>
      <c r="H50" s="247">
        <v>125</v>
      </c>
    </row>
    <row r="51" spans="1:8" s="49" customFormat="1" ht="13.5" x14ac:dyDescent="0.25">
      <c r="A51" s="58"/>
      <c r="B51" s="58"/>
      <c r="C51" s="58"/>
      <c r="D51" s="58"/>
      <c r="F51" s="42" t="s">
        <v>204</v>
      </c>
      <c r="G51" s="41" t="s">
        <v>203</v>
      </c>
      <c r="H51" s="247">
        <v>125</v>
      </c>
    </row>
    <row r="52" spans="1:8" s="49" customFormat="1" ht="13.5" x14ac:dyDescent="0.25">
      <c r="A52" s="58"/>
      <c r="B52" s="58"/>
      <c r="C52" s="58"/>
      <c r="D52" s="58"/>
      <c r="F52" s="226"/>
      <c r="G52" s="43"/>
      <c r="H52" s="248"/>
    </row>
    <row r="53" spans="1:8" s="49" customFormat="1" ht="27" customHeight="1" x14ac:dyDescent="0.25">
      <c r="A53" s="58"/>
      <c r="B53" s="58"/>
      <c r="C53" s="58"/>
      <c r="D53" s="58"/>
      <c r="F53" s="345" t="s">
        <v>206</v>
      </c>
      <c r="G53" s="346" t="s">
        <v>206</v>
      </c>
      <c r="H53" s="46">
        <f>SUM(H50:H52)</f>
        <v>250</v>
      </c>
    </row>
    <row r="54" spans="1:8" s="37" customFormat="1" ht="13.5" x14ac:dyDescent="0.25">
      <c r="B54" s="83"/>
      <c r="C54" s="83" t="s">
        <v>22</v>
      </c>
      <c r="D54" s="245"/>
      <c r="F54" s="89"/>
      <c r="H54" s="38"/>
    </row>
    <row r="55" spans="1:8" s="40" customFormat="1" ht="25.5" x14ac:dyDescent="0.2">
      <c r="A55" s="39"/>
      <c r="B55" s="39"/>
      <c r="C55" s="39" t="s">
        <v>103</v>
      </c>
      <c r="D55" s="193">
        <v>60</v>
      </c>
      <c r="F55" s="84"/>
      <c r="G55" s="41" t="s">
        <v>216</v>
      </c>
      <c r="H55" s="55">
        <v>60</v>
      </c>
    </row>
    <row r="56" spans="1:8" s="40" customFormat="1" x14ac:dyDescent="0.2">
      <c r="A56" s="183">
        <v>98</v>
      </c>
      <c r="B56" s="183"/>
      <c r="C56" s="39" t="s">
        <v>104</v>
      </c>
      <c r="D56" s="193">
        <v>250</v>
      </c>
      <c r="F56" s="74">
        <v>98</v>
      </c>
      <c r="G56" s="54" t="s">
        <v>220</v>
      </c>
      <c r="H56" s="248">
        <v>250</v>
      </c>
    </row>
    <row r="57" spans="1:8" s="40" customFormat="1" ht="12.75" customHeight="1" x14ac:dyDescent="0.2">
      <c r="A57" s="183">
        <v>227</v>
      </c>
      <c r="B57" s="183"/>
      <c r="C57" s="39" t="s">
        <v>105</v>
      </c>
      <c r="D57" s="193">
        <v>70</v>
      </c>
      <c r="F57" s="211">
        <v>227</v>
      </c>
      <c r="G57" s="39" t="s">
        <v>279</v>
      </c>
      <c r="H57" s="193">
        <v>90</v>
      </c>
    </row>
    <row r="58" spans="1:8" s="40" customFormat="1" x14ac:dyDescent="0.2">
      <c r="A58" s="183">
        <v>312</v>
      </c>
      <c r="B58" s="183"/>
      <c r="C58" s="39" t="s">
        <v>106</v>
      </c>
      <c r="D58" s="193">
        <v>150</v>
      </c>
      <c r="F58" s="224" t="s">
        <v>221</v>
      </c>
      <c r="G58" s="41" t="s">
        <v>106</v>
      </c>
      <c r="H58" s="248">
        <v>150</v>
      </c>
    </row>
    <row r="59" spans="1:8" s="40" customFormat="1" x14ac:dyDescent="0.2">
      <c r="A59" s="183">
        <v>349</v>
      </c>
      <c r="B59" s="183"/>
      <c r="C59" s="39" t="s">
        <v>107</v>
      </c>
      <c r="D59" s="193">
        <v>200</v>
      </c>
      <c r="F59" s="74">
        <v>349</v>
      </c>
      <c r="G59" s="54" t="s">
        <v>214</v>
      </c>
      <c r="H59" s="55">
        <v>180</v>
      </c>
    </row>
    <row r="60" spans="1:8" s="40" customFormat="1" x14ac:dyDescent="0.2">
      <c r="A60" s="183"/>
      <c r="B60" s="183"/>
      <c r="C60" s="39" t="s">
        <v>93</v>
      </c>
      <c r="D60" s="193">
        <v>40</v>
      </c>
      <c r="F60" s="42"/>
      <c r="G60" s="54" t="s">
        <v>93</v>
      </c>
      <c r="H60" s="248">
        <v>70</v>
      </c>
    </row>
    <row r="61" spans="1:8" s="40" customFormat="1" x14ac:dyDescent="0.2">
      <c r="A61" s="183"/>
      <c r="B61" s="183"/>
      <c r="C61" s="39" t="s">
        <v>94</v>
      </c>
      <c r="D61" s="193">
        <v>40</v>
      </c>
      <c r="F61" s="74"/>
      <c r="G61" s="54"/>
      <c r="H61" s="55"/>
    </row>
    <row r="62" spans="1:8" s="40" customFormat="1" x14ac:dyDescent="0.2">
      <c r="A62" s="183"/>
      <c r="B62" s="183"/>
      <c r="C62" s="39" t="s">
        <v>108</v>
      </c>
      <c r="D62" s="194">
        <v>200</v>
      </c>
      <c r="F62" s="74"/>
      <c r="G62" s="54"/>
      <c r="H62" s="75"/>
    </row>
    <row r="63" spans="1:8" s="49" customFormat="1" ht="15" customHeight="1" x14ac:dyDescent="0.25">
      <c r="A63" s="335" t="s">
        <v>23</v>
      </c>
      <c r="B63" s="336"/>
      <c r="C63" s="341"/>
      <c r="D63" s="63">
        <f>SUM(D55:D62)</f>
        <v>1010</v>
      </c>
      <c r="F63" s="335" t="s">
        <v>95</v>
      </c>
      <c r="G63" s="341" t="s">
        <v>95</v>
      </c>
      <c r="H63" s="65">
        <f>SUM(H55:H62)</f>
        <v>800</v>
      </c>
    </row>
    <row r="64" spans="1:8" s="37" customFormat="1" ht="13.5" customHeight="1" x14ac:dyDescent="0.25">
      <c r="A64" s="83"/>
      <c r="B64" s="83"/>
      <c r="C64" s="83"/>
      <c r="D64" s="245"/>
      <c r="F64" s="89"/>
      <c r="H64" s="38"/>
    </row>
    <row r="65" spans="1:8" s="40" customFormat="1" x14ac:dyDescent="0.25">
      <c r="A65" s="58"/>
      <c r="B65" s="58"/>
      <c r="C65" s="58"/>
      <c r="D65" s="58"/>
      <c r="F65" s="227">
        <v>372</v>
      </c>
      <c r="G65" s="41" t="s">
        <v>222</v>
      </c>
      <c r="H65" s="247">
        <v>125</v>
      </c>
    </row>
    <row r="66" spans="1:8" s="40" customFormat="1" x14ac:dyDescent="0.25">
      <c r="A66" s="58"/>
      <c r="B66" s="58"/>
      <c r="C66" s="58"/>
      <c r="D66" s="58"/>
      <c r="F66" s="42">
        <v>386</v>
      </c>
      <c r="G66" s="41" t="s">
        <v>203</v>
      </c>
      <c r="H66" s="247">
        <v>125</v>
      </c>
    </row>
    <row r="67" spans="1:8" s="40" customFormat="1" x14ac:dyDescent="0.25">
      <c r="A67" s="58"/>
      <c r="B67" s="58"/>
      <c r="C67" s="58"/>
      <c r="D67" s="58"/>
      <c r="F67" s="44"/>
      <c r="G67" s="43"/>
      <c r="H67" s="248"/>
    </row>
    <row r="68" spans="1:8" s="49" customFormat="1" ht="13.5" x14ac:dyDescent="0.25">
      <c r="A68" s="186"/>
      <c r="B68" s="186"/>
      <c r="C68" s="187"/>
      <c r="D68" s="188"/>
      <c r="F68" s="345" t="s">
        <v>25</v>
      </c>
      <c r="G68" s="346" t="s">
        <v>206</v>
      </c>
      <c r="H68" s="46">
        <f>SUM(H65:H67)</f>
        <v>250</v>
      </c>
    </row>
    <row r="69" spans="1:8" s="35" customFormat="1" ht="15.75" customHeight="1" x14ac:dyDescent="0.25">
      <c r="B69" s="83"/>
      <c r="C69" s="219" t="s">
        <v>29</v>
      </c>
      <c r="D69" s="245"/>
      <c r="F69" s="81"/>
      <c r="G69" s="35" t="s">
        <v>29</v>
      </c>
      <c r="H69" s="246"/>
    </row>
    <row r="70" spans="1:8" s="37" customFormat="1" ht="13.5" customHeight="1" x14ac:dyDescent="0.25">
      <c r="B70" s="83"/>
      <c r="C70" s="83" t="s">
        <v>97</v>
      </c>
      <c r="D70" s="245"/>
      <c r="F70" s="89"/>
      <c r="H70" s="38"/>
    </row>
    <row r="71" spans="1:8" s="40" customFormat="1" x14ac:dyDescent="0.25">
      <c r="A71" s="39"/>
      <c r="B71" s="39"/>
      <c r="C71" s="39" t="s">
        <v>110</v>
      </c>
      <c r="D71" s="39">
        <v>80</v>
      </c>
      <c r="F71" s="228" t="s">
        <v>223</v>
      </c>
      <c r="G71" s="41" t="s">
        <v>224</v>
      </c>
      <c r="H71" s="248">
        <v>60</v>
      </c>
    </row>
    <row r="72" spans="1:8" s="40" customFormat="1" ht="25.5" x14ac:dyDescent="0.25">
      <c r="A72" s="39"/>
      <c r="B72" s="39"/>
      <c r="C72" s="39" t="s">
        <v>111</v>
      </c>
      <c r="D72" s="39">
        <v>75</v>
      </c>
      <c r="F72" s="223" t="s">
        <v>225</v>
      </c>
      <c r="G72" s="41" t="s">
        <v>270</v>
      </c>
      <c r="H72" s="247">
        <v>110</v>
      </c>
    </row>
    <row r="73" spans="1:8" s="40" customFormat="1" x14ac:dyDescent="0.2">
      <c r="A73" s="39"/>
      <c r="B73" s="39"/>
      <c r="C73" s="39" t="s">
        <v>226</v>
      </c>
      <c r="D73" s="39">
        <v>135</v>
      </c>
      <c r="F73" s="223" t="s">
        <v>369</v>
      </c>
      <c r="G73" s="271" t="s">
        <v>357</v>
      </c>
      <c r="H73" s="250">
        <v>150</v>
      </c>
    </row>
    <row r="74" spans="1:8" s="40" customFormat="1" x14ac:dyDescent="0.25">
      <c r="A74" s="39"/>
      <c r="B74" s="39"/>
      <c r="C74" s="39" t="s">
        <v>193</v>
      </c>
      <c r="D74" s="39">
        <v>200</v>
      </c>
      <c r="F74" s="224" t="s">
        <v>228</v>
      </c>
      <c r="G74" s="41" t="s">
        <v>283</v>
      </c>
      <c r="H74" s="247">
        <v>180</v>
      </c>
    </row>
    <row r="75" spans="1:8" s="40" customFormat="1" x14ac:dyDescent="0.25">
      <c r="A75" s="39"/>
      <c r="B75" s="39"/>
      <c r="C75" s="39" t="s">
        <v>84</v>
      </c>
      <c r="D75" s="39">
        <v>25</v>
      </c>
      <c r="F75" s="84"/>
      <c r="G75" s="54" t="s">
        <v>93</v>
      </c>
      <c r="H75" s="39">
        <v>50</v>
      </c>
    </row>
    <row r="76" spans="1:8" s="40" customFormat="1" x14ac:dyDescent="0.25">
      <c r="A76" s="39"/>
      <c r="B76" s="39"/>
      <c r="C76" s="39" t="s">
        <v>94</v>
      </c>
      <c r="D76" s="39">
        <v>25</v>
      </c>
      <c r="F76" s="84"/>
      <c r="G76" s="39"/>
      <c r="H76" s="39"/>
    </row>
    <row r="77" spans="1:8" s="40" customFormat="1" ht="36" customHeight="1" x14ac:dyDescent="0.2">
      <c r="A77" s="39"/>
      <c r="B77" s="39"/>
      <c r="C77" s="39" t="s">
        <v>115</v>
      </c>
      <c r="D77" s="39">
        <v>150</v>
      </c>
      <c r="F77" s="84"/>
      <c r="G77" s="54" t="s">
        <v>230</v>
      </c>
      <c r="H77" s="55">
        <v>120</v>
      </c>
    </row>
    <row r="78" spans="1:8" s="40" customFormat="1" ht="13.5" customHeight="1" x14ac:dyDescent="0.25">
      <c r="A78" s="342" t="s">
        <v>200</v>
      </c>
      <c r="B78" s="343"/>
      <c r="C78" s="344"/>
      <c r="D78" s="178">
        <f>SUM(D71:D77)</f>
        <v>690</v>
      </c>
      <c r="F78" s="345" t="s">
        <v>200</v>
      </c>
      <c r="G78" s="334" t="s">
        <v>200</v>
      </c>
      <c r="H78" s="46">
        <f>SUM(H71:H77)</f>
        <v>670</v>
      </c>
    </row>
    <row r="79" spans="1:8" s="49" customFormat="1" ht="13.5" x14ac:dyDescent="0.25">
      <c r="A79" s="179"/>
      <c r="B79" s="179"/>
      <c r="C79" s="179"/>
      <c r="D79" s="180"/>
      <c r="F79" s="213"/>
      <c r="G79" s="62"/>
      <c r="H79" s="251"/>
    </row>
    <row r="80" spans="1:8" s="49" customFormat="1" ht="13.5" customHeight="1" x14ac:dyDescent="0.25">
      <c r="A80" s="179"/>
      <c r="B80" s="179"/>
      <c r="C80" s="179"/>
      <c r="D80" s="180"/>
      <c r="F80" s="213"/>
      <c r="G80" s="348" t="s">
        <v>201</v>
      </c>
      <c r="H80" s="349"/>
    </row>
    <row r="81" spans="1:8" s="49" customFormat="1" ht="13.5" x14ac:dyDescent="0.25">
      <c r="A81" s="179"/>
      <c r="B81" s="179"/>
      <c r="C81" s="179"/>
      <c r="D81" s="180"/>
      <c r="F81" s="229">
        <v>369</v>
      </c>
      <c r="G81" s="41" t="s">
        <v>231</v>
      </c>
      <c r="H81" s="247">
        <v>125</v>
      </c>
    </row>
    <row r="82" spans="1:8" s="49" customFormat="1" ht="13.5" x14ac:dyDescent="0.25">
      <c r="A82" s="179"/>
      <c r="B82" s="179"/>
      <c r="C82" s="179"/>
      <c r="D82" s="180"/>
      <c r="F82" s="42">
        <v>386</v>
      </c>
      <c r="G82" s="41" t="s">
        <v>203</v>
      </c>
      <c r="H82" s="247">
        <v>125</v>
      </c>
    </row>
    <row r="83" spans="1:8" s="49" customFormat="1" ht="13.5" x14ac:dyDescent="0.25">
      <c r="A83" s="179"/>
      <c r="B83" s="179"/>
      <c r="C83" s="179"/>
      <c r="D83" s="180"/>
      <c r="F83" s="213"/>
      <c r="G83" s="47" t="s">
        <v>206</v>
      </c>
      <c r="H83" s="46">
        <f>SUM(H81:H82)</f>
        <v>250</v>
      </c>
    </row>
    <row r="84" spans="1:8" s="49" customFormat="1" ht="13.5" customHeight="1" x14ac:dyDescent="0.25">
      <c r="A84" s="179"/>
      <c r="B84" s="179"/>
      <c r="C84" s="179"/>
      <c r="D84" s="180"/>
      <c r="F84" s="90"/>
      <c r="H84" s="50"/>
    </row>
    <row r="85" spans="1:8" s="37" customFormat="1" ht="13.5" x14ac:dyDescent="0.25">
      <c r="B85" s="83"/>
      <c r="C85" s="83" t="s">
        <v>22</v>
      </c>
      <c r="D85" s="245"/>
      <c r="F85" s="89"/>
      <c r="H85" s="38"/>
    </row>
    <row r="86" spans="1:8" s="40" customFormat="1" ht="25.5" x14ac:dyDescent="0.2">
      <c r="A86" s="183">
        <v>104</v>
      </c>
      <c r="B86" s="183"/>
      <c r="C86" s="39" t="s">
        <v>232</v>
      </c>
      <c r="D86" s="193">
        <v>270</v>
      </c>
      <c r="F86" s="212"/>
      <c r="G86" s="212" t="s">
        <v>286</v>
      </c>
      <c r="H86" s="252">
        <v>60</v>
      </c>
    </row>
    <row r="87" spans="1:8" s="40" customFormat="1" ht="25.5" x14ac:dyDescent="0.2">
      <c r="A87" s="183"/>
      <c r="B87" s="183"/>
      <c r="C87" s="39"/>
      <c r="D87" s="193"/>
      <c r="F87" s="230">
        <v>128</v>
      </c>
      <c r="G87" s="41" t="s">
        <v>280</v>
      </c>
      <c r="H87" s="247">
        <v>250</v>
      </c>
    </row>
    <row r="88" spans="1:8" s="40" customFormat="1" ht="25.5" x14ac:dyDescent="0.2">
      <c r="A88" s="183">
        <v>223</v>
      </c>
      <c r="B88" s="183"/>
      <c r="C88" s="39" t="s">
        <v>117</v>
      </c>
      <c r="D88" s="193">
        <v>185</v>
      </c>
      <c r="F88" s="223" t="s">
        <v>233</v>
      </c>
      <c r="G88" s="41" t="s">
        <v>234</v>
      </c>
      <c r="H88" s="247">
        <v>150</v>
      </c>
    </row>
    <row r="89" spans="1:8" s="40" customFormat="1" x14ac:dyDescent="0.2">
      <c r="A89" s="183"/>
      <c r="B89" s="183"/>
      <c r="C89" s="39" t="s">
        <v>118</v>
      </c>
      <c r="D89" s="193">
        <v>35</v>
      </c>
      <c r="F89" s="74"/>
      <c r="G89" s="69" t="s">
        <v>235</v>
      </c>
      <c r="H89" s="253">
        <v>180</v>
      </c>
    </row>
    <row r="90" spans="1:8" s="40" customFormat="1" x14ac:dyDescent="0.2">
      <c r="A90" s="183"/>
      <c r="B90" s="191"/>
      <c r="C90" s="192" t="s">
        <v>119</v>
      </c>
      <c r="D90" s="257">
        <v>200</v>
      </c>
      <c r="F90" s="74"/>
      <c r="G90" s="54" t="s">
        <v>93</v>
      </c>
      <c r="H90" s="55">
        <v>70</v>
      </c>
    </row>
    <row r="91" spans="1:8" s="40" customFormat="1" x14ac:dyDescent="0.2">
      <c r="A91" s="183"/>
      <c r="B91" s="183"/>
      <c r="C91" s="39" t="s">
        <v>93</v>
      </c>
      <c r="D91" s="193">
        <v>40</v>
      </c>
      <c r="F91" s="74"/>
      <c r="G91" s="54"/>
      <c r="H91" s="55"/>
    </row>
    <row r="92" spans="1:8" s="40" customFormat="1" x14ac:dyDescent="0.2">
      <c r="A92" s="183"/>
      <c r="B92" s="183"/>
      <c r="C92" s="39" t="s">
        <v>94</v>
      </c>
      <c r="D92" s="193">
        <v>40</v>
      </c>
      <c r="F92" s="82"/>
      <c r="G92" s="54"/>
      <c r="H92" s="55"/>
    </row>
    <row r="93" spans="1:8" s="40" customFormat="1" ht="25.5" x14ac:dyDescent="0.25">
      <c r="A93" s="183"/>
      <c r="B93" s="183"/>
      <c r="C93" s="39" t="s">
        <v>120</v>
      </c>
      <c r="D93" s="193">
        <v>180</v>
      </c>
      <c r="F93" s="82"/>
      <c r="G93" s="70" t="s">
        <v>23</v>
      </c>
      <c r="H93" s="254">
        <f>SUM(H86:H92)</f>
        <v>710</v>
      </c>
    </row>
    <row r="94" spans="1:8" s="40" customFormat="1" ht="13.5" x14ac:dyDescent="0.25">
      <c r="A94" s="72" t="s">
        <v>23</v>
      </c>
      <c r="B94" s="72"/>
      <c r="C94" s="64"/>
      <c r="D94" s="65">
        <f>SUM(D86:D93)</f>
        <v>950</v>
      </c>
      <c r="F94" s="181"/>
      <c r="G94" s="181"/>
      <c r="H94" s="182"/>
    </row>
    <row r="95" spans="1:8" s="37" customFormat="1" ht="13.5" customHeight="1" x14ac:dyDescent="0.25">
      <c r="A95" s="83"/>
      <c r="B95" s="83"/>
      <c r="C95" s="83"/>
      <c r="D95" s="245"/>
      <c r="F95" s="89"/>
      <c r="H95" s="38"/>
    </row>
    <row r="96" spans="1:8" s="40" customFormat="1" x14ac:dyDescent="0.25">
      <c r="A96" s="58"/>
      <c r="B96" s="58"/>
      <c r="C96" s="58"/>
      <c r="D96" s="58"/>
      <c r="F96" s="229">
        <v>369</v>
      </c>
      <c r="G96" s="41" t="s">
        <v>231</v>
      </c>
      <c r="H96" s="247">
        <v>125</v>
      </c>
    </row>
    <row r="97" spans="1:8" s="40" customFormat="1" x14ac:dyDescent="0.25">
      <c r="A97" s="58"/>
      <c r="B97" s="58"/>
      <c r="C97" s="58"/>
      <c r="D97" s="58"/>
      <c r="F97" s="42">
        <v>386</v>
      </c>
      <c r="G97" s="41" t="s">
        <v>203</v>
      </c>
      <c r="H97" s="247">
        <v>125</v>
      </c>
    </row>
    <row r="98" spans="1:8" s="40" customFormat="1" ht="13.5" x14ac:dyDescent="0.25">
      <c r="A98" s="58"/>
      <c r="B98" s="58"/>
      <c r="C98" s="58"/>
      <c r="D98" s="58"/>
      <c r="F98" s="213"/>
      <c r="G98" s="47" t="s">
        <v>25</v>
      </c>
      <c r="H98" s="46">
        <f>SUM(H96:H97)</f>
        <v>250</v>
      </c>
    </row>
    <row r="99" spans="1:8" s="49" customFormat="1" ht="13.5" x14ac:dyDescent="0.25">
      <c r="A99" s="186"/>
      <c r="B99" s="186"/>
      <c r="C99" s="187"/>
      <c r="D99" s="188"/>
    </row>
    <row r="100" spans="1:8" s="35" customFormat="1" ht="12.75" customHeight="1" x14ac:dyDescent="0.25">
      <c r="B100" s="83"/>
      <c r="C100" s="219" t="s">
        <v>31</v>
      </c>
      <c r="D100" s="245"/>
      <c r="F100" s="81"/>
      <c r="G100" s="35" t="s">
        <v>31</v>
      </c>
      <c r="H100" s="246"/>
    </row>
    <row r="101" spans="1:8" s="37" customFormat="1" ht="13.5" customHeight="1" x14ac:dyDescent="0.25">
      <c r="B101" s="83"/>
      <c r="C101" s="83" t="s">
        <v>97</v>
      </c>
      <c r="D101" s="245"/>
      <c r="G101" s="83" t="s">
        <v>97</v>
      </c>
    </row>
    <row r="102" spans="1:8" s="40" customFormat="1" x14ac:dyDescent="0.25">
      <c r="A102" s="39"/>
      <c r="B102" s="39"/>
      <c r="C102" s="39" t="s">
        <v>122</v>
      </c>
      <c r="D102" s="39">
        <v>80</v>
      </c>
      <c r="F102" s="223">
        <v>52</v>
      </c>
      <c r="G102" s="41" t="s">
        <v>236</v>
      </c>
      <c r="H102" s="248">
        <v>60</v>
      </c>
    </row>
    <row r="103" spans="1:8" s="40" customFormat="1" x14ac:dyDescent="0.25">
      <c r="A103" s="39"/>
      <c r="B103" s="39"/>
      <c r="C103" s="39" t="s">
        <v>124</v>
      </c>
      <c r="D103" s="39">
        <v>110</v>
      </c>
      <c r="F103" s="231" t="s">
        <v>237</v>
      </c>
      <c r="G103" s="41" t="s">
        <v>238</v>
      </c>
      <c r="H103" s="248">
        <v>110</v>
      </c>
    </row>
    <row r="104" spans="1:8" s="40" customFormat="1" x14ac:dyDescent="0.25">
      <c r="A104" s="39"/>
      <c r="B104" s="39"/>
      <c r="C104" s="39" t="s">
        <v>106</v>
      </c>
      <c r="D104" s="39">
        <v>150</v>
      </c>
      <c r="F104" s="224" t="s">
        <v>221</v>
      </c>
      <c r="G104" s="41" t="s">
        <v>106</v>
      </c>
      <c r="H104" s="248">
        <v>150</v>
      </c>
    </row>
    <row r="105" spans="1:8" s="40" customFormat="1" x14ac:dyDescent="0.25">
      <c r="A105" s="39"/>
      <c r="B105" s="39"/>
      <c r="C105" s="39" t="s">
        <v>125</v>
      </c>
      <c r="D105" s="39">
        <v>200</v>
      </c>
      <c r="F105" s="224"/>
      <c r="G105" s="39" t="s">
        <v>227</v>
      </c>
      <c r="H105" s="39">
        <v>180</v>
      </c>
    </row>
    <row r="106" spans="1:8" s="40" customFormat="1" x14ac:dyDescent="0.25">
      <c r="A106" s="39"/>
      <c r="B106" s="39"/>
      <c r="C106" s="39" t="s">
        <v>94</v>
      </c>
      <c r="D106" s="39">
        <v>25</v>
      </c>
      <c r="F106" s="42"/>
      <c r="G106" s="54" t="s">
        <v>93</v>
      </c>
      <c r="H106" s="248">
        <v>25</v>
      </c>
    </row>
    <row r="107" spans="1:8" s="40" customFormat="1" x14ac:dyDescent="0.25">
      <c r="A107" s="39"/>
      <c r="B107" s="39"/>
      <c r="C107" s="39" t="s">
        <v>126</v>
      </c>
      <c r="D107" s="39">
        <v>50</v>
      </c>
      <c r="F107" s="84"/>
      <c r="G107" s="39" t="s">
        <v>126</v>
      </c>
      <c r="H107" s="39">
        <v>50</v>
      </c>
    </row>
    <row r="108" spans="1:8" s="40" customFormat="1" ht="13.5" x14ac:dyDescent="0.25">
      <c r="A108" s="72" t="s">
        <v>200</v>
      </c>
      <c r="B108" s="72"/>
      <c r="C108" s="72"/>
      <c r="D108" s="65">
        <f>SUM(D102:D107)</f>
        <v>615</v>
      </c>
      <c r="F108" s="64" t="s">
        <v>200</v>
      </c>
      <c r="G108" s="72"/>
      <c r="H108" s="65">
        <f>SUM(H102:H107)</f>
        <v>575</v>
      </c>
    </row>
    <row r="109" spans="1:8" s="49" customFormat="1" ht="13.5" customHeight="1" x14ac:dyDescent="0.25">
      <c r="A109" s="179"/>
      <c r="B109" s="179"/>
      <c r="C109" s="179"/>
      <c r="D109" s="180"/>
      <c r="F109" s="213"/>
      <c r="G109" s="51" t="s">
        <v>201</v>
      </c>
      <c r="H109" s="255"/>
    </row>
    <row r="110" spans="1:8" s="49" customFormat="1" ht="13.5" customHeight="1" x14ac:dyDescent="0.25">
      <c r="A110" s="179"/>
      <c r="B110" s="179"/>
      <c r="C110" s="179"/>
      <c r="D110" s="180"/>
      <c r="F110" s="227">
        <v>366</v>
      </c>
      <c r="G110" s="41" t="s">
        <v>239</v>
      </c>
      <c r="H110" s="247">
        <v>125</v>
      </c>
    </row>
    <row r="111" spans="1:8" s="49" customFormat="1" ht="13.5" x14ac:dyDescent="0.25">
      <c r="A111" s="179"/>
      <c r="B111" s="179"/>
      <c r="C111" s="179"/>
      <c r="D111" s="180"/>
      <c r="F111" s="42">
        <v>386</v>
      </c>
      <c r="G111" s="41" t="s">
        <v>203</v>
      </c>
      <c r="H111" s="247">
        <v>125</v>
      </c>
    </row>
    <row r="112" spans="1:8" s="49" customFormat="1" ht="13.5" x14ac:dyDescent="0.25">
      <c r="A112" s="179"/>
      <c r="B112" s="179"/>
      <c r="C112" s="179"/>
      <c r="D112" s="180"/>
      <c r="F112" s="214"/>
      <c r="G112" s="214"/>
      <c r="H112" s="65"/>
    </row>
    <row r="113" spans="1:8" s="49" customFormat="1" ht="13.5" x14ac:dyDescent="0.25">
      <c r="A113" s="179"/>
      <c r="B113" s="179"/>
      <c r="C113" s="179"/>
      <c r="D113" s="180"/>
      <c r="F113" s="350" t="s">
        <v>206</v>
      </c>
      <c r="G113" s="351"/>
      <c r="H113" s="248">
        <f>SUM(H110:H112)</f>
        <v>250</v>
      </c>
    </row>
    <row r="114" spans="1:8" s="49" customFormat="1" ht="13.5" x14ac:dyDescent="0.25">
      <c r="A114" s="37"/>
      <c r="B114" s="83"/>
      <c r="C114" s="83" t="s">
        <v>22</v>
      </c>
      <c r="D114" s="245"/>
      <c r="F114" s="347"/>
      <c r="G114" s="341"/>
      <c r="H114" s="46"/>
    </row>
    <row r="115" spans="1:8" s="37" customFormat="1" ht="13.5" x14ac:dyDescent="0.2">
      <c r="A115" s="183">
        <v>96</v>
      </c>
      <c r="B115" s="183"/>
      <c r="C115" s="39" t="s">
        <v>127</v>
      </c>
      <c r="D115" s="193">
        <v>250</v>
      </c>
      <c r="F115" s="225">
        <v>130</v>
      </c>
      <c r="G115" s="41" t="s">
        <v>287</v>
      </c>
      <c r="H115" s="247">
        <v>250</v>
      </c>
    </row>
    <row r="116" spans="1:8" s="40" customFormat="1" x14ac:dyDescent="0.2">
      <c r="A116" s="52"/>
      <c r="B116" s="52"/>
      <c r="C116" s="39" t="s">
        <v>128</v>
      </c>
      <c r="D116" s="193">
        <v>85</v>
      </c>
      <c r="F116" s="74"/>
      <c r="G116" s="54" t="s">
        <v>128</v>
      </c>
      <c r="H116" s="55">
        <v>90</v>
      </c>
    </row>
    <row r="117" spans="1:8" s="40" customFormat="1" x14ac:dyDescent="0.2">
      <c r="A117" s="183">
        <v>143</v>
      </c>
      <c r="B117" s="183"/>
      <c r="C117" s="39" t="s">
        <v>129</v>
      </c>
      <c r="D117" s="193">
        <v>150</v>
      </c>
      <c r="F117" s="224"/>
      <c r="G117" s="54" t="s">
        <v>129</v>
      </c>
      <c r="H117" s="247">
        <v>150</v>
      </c>
    </row>
    <row r="118" spans="1:8" s="40" customFormat="1" x14ac:dyDescent="0.2">
      <c r="A118" s="183"/>
      <c r="B118" s="183"/>
      <c r="C118" s="39" t="s">
        <v>130</v>
      </c>
      <c r="D118" s="193">
        <v>200</v>
      </c>
      <c r="F118" s="74"/>
      <c r="G118" s="39" t="s">
        <v>130</v>
      </c>
      <c r="H118" s="55">
        <v>150</v>
      </c>
    </row>
    <row r="119" spans="1:8" s="40" customFormat="1" x14ac:dyDescent="0.2">
      <c r="A119" s="183"/>
      <c r="B119" s="183"/>
      <c r="C119" s="39" t="s">
        <v>93</v>
      </c>
      <c r="D119" s="193">
        <v>40</v>
      </c>
      <c r="F119" s="74"/>
      <c r="G119" s="54" t="s">
        <v>93</v>
      </c>
      <c r="H119" s="55">
        <v>50</v>
      </c>
    </row>
    <row r="120" spans="1:8" s="40" customFormat="1" x14ac:dyDescent="0.2">
      <c r="A120" s="183"/>
      <c r="B120" s="183"/>
      <c r="C120" s="39" t="s">
        <v>94</v>
      </c>
      <c r="D120" s="193">
        <v>20</v>
      </c>
      <c r="F120" s="224"/>
      <c r="G120" s="41" t="s">
        <v>284</v>
      </c>
      <c r="H120" s="247">
        <v>180</v>
      </c>
    </row>
    <row r="121" spans="1:8" s="40" customFormat="1" x14ac:dyDescent="0.2">
      <c r="A121" s="183"/>
      <c r="B121" s="183"/>
      <c r="C121" s="39" t="s">
        <v>108</v>
      </c>
      <c r="D121" s="194">
        <v>200</v>
      </c>
      <c r="F121" s="74"/>
      <c r="G121" s="54"/>
      <c r="H121" s="75"/>
    </row>
    <row r="122" spans="1:8" s="40" customFormat="1" ht="13.5" x14ac:dyDescent="0.25">
      <c r="A122" s="332" t="s">
        <v>23</v>
      </c>
      <c r="B122" s="333"/>
      <c r="C122" s="334"/>
      <c r="D122" s="195">
        <f>SUM(D115:D121)</f>
        <v>945</v>
      </c>
      <c r="F122" s="213"/>
      <c r="G122" s="71" t="s">
        <v>23</v>
      </c>
      <c r="H122" s="46">
        <f>SUM(H115:H121)</f>
        <v>870</v>
      </c>
    </row>
    <row r="123" spans="1:8" s="49" customFormat="1" ht="13.5" customHeight="1" x14ac:dyDescent="0.25">
      <c r="C123" s="83"/>
      <c r="F123" s="181"/>
      <c r="G123" s="51" t="s">
        <v>24</v>
      </c>
      <c r="H123" s="182"/>
    </row>
    <row r="124" spans="1:8" s="37" customFormat="1" ht="13.5" customHeight="1" x14ac:dyDescent="0.25">
      <c r="B124" s="83"/>
      <c r="C124" s="83"/>
      <c r="D124" s="245"/>
      <c r="F124" s="227">
        <v>366</v>
      </c>
      <c r="G124" s="41" t="s">
        <v>239</v>
      </c>
      <c r="H124" s="247">
        <v>125</v>
      </c>
    </row>
    <row r="125" spans="1:8" s="40" customFormat="1" x14ac:dyDescent="0.25">
      <c r="A125" s="58"/>
      <c r="B125" s="58"/>
      <c r="C125" s="58"/>
      <c r="D125" s="58"/>
      <c r="F125" s="42">
        <v>386</v>
      </c>
      <c r="G125" s="41" t="s">
        <v>203</v>
      </c>
      <c r="H125" s="247">
        <v>125</v>
      </c>
    </row>
    <row r="126" spans="1:8" s="40" customFormat="1" x14ac:dyDescent="0.25">
      <c r="A126" s="58"/>
      <c r="B126" s="58"/>
      <c r="C126" s="58"/>
      <c r="D126" s="58"/>
      <c r="F126" s="44"/>
      <c r="G126" s="43"/>
      <c r="H126" s="248"/>
    </row>
    <row r="127" spans="1:8" s="40" customFormat="1" ht="13.5" x14ac:dyDescent="0.25">
      <c r="A127" s="58"/>
      <c r="B127" s="58"/>
      <c r="C127" s="58"/>
      <c r="D127" s="58"/>
      <c r="F127" s="213"/>
      <c r="G127" s="71" t="s">
        <v>25</v>
      </c>
      <c r="H127" s="46">
        <f>SUM(H124:H126)</f>
        <v>250</v>
      </c>
    </row>
    <row r="128" spans="1:8" s="49" customFormat="1" ht="13.5" x14ac:dyDescent="0.25">
      <c r="A128" s="186"/>
      <c r="B128" s="186"/>
      <c r="C128" s="187"/>
      <c r="D128" s="188"/>
      <c r="F128" s="201"/>
      <c r="G128" s="201"/>
      <c r="H128" s="256"/>
    </row>
    <row r="129" spans="1:8" s="35" customFormat="1" ht="30" customHeight="1" x14ac:dyDescent="0.25">
      <c r="B129" s="83"/>
      <c r="C129" s="83" t="s">
        <v>33</v>
      </c>
      <c r="D129" s="245"/>
      <c r="F129" s="81"/>
      <c r="G129" s="35" t="s">
        <v>33</v>
      </c>
      <c r="H129" s="246"/>
    </row>
    <row r="130" spans="1:8" s="37" customFormat="1" ht="13.5" customHeight="1" x14ac:dyDescent="0.25">
      <c r="B130" s="83"/>
      <c r="C130" s="83" t="s">
        <v>97</v>
      </c>
      <c r="D130" s="245"/>
      <c r="G130" s="83" t="s">
        <v>97</v>
      </c>
    </row>
    <row r="131" spans="1:8" s="40" customFormat="1" ht="25.5" x14ac:dyDescent="0.2">
      <c r="A131" s="39"/>
      <c r="B131" s="39"/>
      <c r="C131" s="39" t="s">
        <v>132</v>
      </c>
      <c r="D131" s="39">
        <v>70</v>
      </c>
      <c r="F131" s="84"/>
      <c r="G131" s="41" t="s">
        <v>216</v>
      </c>
      <c r="H131" s="250">
        <v>60</v>
      </c>
    </row>
    <row r="132" spans="1:8" s="40" customFormat="1" x14ac:dyDescent="0.2">
      <c r="A132" s="39"/>
      <c r="B132" s="39"/>
      <c r="C132" s="39" t="s">
        <v>133</v>
      </c>
      <c r="D132" s="39">
        <v>150</v>
      </c>
      <c r="F132" s="232" t="s">
        <v>288</v>
      </c>
      <c r="G132" s="43" t="s">
        <v>289</v>
      </c>
      <c r="H132" s="250">
        <v>150</v>
      </c>
    </row>
    <row r="133" spans="1:8" s="40" customFormat="1" x14ac:dyDescent="0.25">
      <c r="A133" s="39"/>
      <c r="B133" s="39"/>
      <c r="C133" s="39" t="s">
        <v>101</v>
      </c>
      <c r="D133" s="39">
        <v>200</v>
      </c>
      <c r="F133" s="84"/>
      <c r="G133" s="39" t="s">
        <v>290</v>
      </c>
      <c r="H133" s="248">
        <v>180</v>
      </c>
    </row>
    <row r="134" spans="1:8" s="40" customFormat="1" x14ac:dyDescent="0.25">
      <c r="A134" s="39"/>
      <c r="B134" s="39"/>
      <c r="C134" s="39" t="s">
        <v>84</v>
      </c>
      <c r="D134" s="39">
        <v>40</v>
      </c>
      <c r="F134" s="84"/>
      <c r="G134" s="54" t="s">
        <v>93</v>
      </c>
      <c r="H134" s="39">
        <v>40</v>
      </c>
    </row>
    <row r="135" spans="1:8" s="40" customFormat="1" x14ac:dyDescent="0.25">
      <c r="A135" s="39"/>
      <c r="B135" s="39"/>
      <c r="C135" s="39" t="s">
        <v>94</v>
      </c>
      <c r="D135" s="39">
        <v>25</v>
      </c>
      <c r="F135" s="84"/>
      <c r="G135" s="39"/>
      <c r="H135" s="39"/>
    </row>
    <row r="136" spans="1:8" s="40" customFormat="1" x14ac:dyDescent="0.25">
      <c r="A136" s="39"/>
      <c r="B136" s="39"/>
      <c r="C136" s="39" t="s">
        <v>130</v>
      </c>
      <c r="D136" s="39">
        <v>120</v>
      </c>
      <c r="F136" s="84"/>
      <c r="G136" s="39" t="s">
        <v>130</v>
      </c>
      <c r="H136" s="39">
        <v>120</v>
      </c>
    </row>
    <row r="137" spans="1:8" s="49" customFormat="1" ht="13.5" customHeight="1" x14ac:dyDescent="0.25">
      <c r="A137" s="335" t="s">
        <v>200</v>
      </c>
      <c r="B137" s="336"/>
      <c r="C137" s="337"/>
      <c r="D137" s="63">
        <f>SUM(D131:D136)</f>
        <v>605</v>
      </c>
      <c r="F137" s="213"/>
      <c r="G137" s="76" t="s">
        <v>86</v>
      </c>
      <c r="H137" s="65">
        <f>SUM(H131:H136)</f>
        <v>550</v>
      </c>
    </row>
    <row r="138" spans="1:8" s="49" customFormat="1" ht="13.5" customHeight="1" x14ac:dyDescent="0.25">
      <c r="A138" s="179"/>
      <c r="B138" s="179"/>
      <c r="C138" s="179"/>
      <c r="D138" s="180"/>
      <c r="F138" s="179"/>
      <c r="G138" s="179" t="s">
        <v>201</v>
      </c>
      <c r="H138" s="180"/>
    </row>
    <row r="139" spans="1:8" s="49" customFormat="1" ht="13.5" x14ac:dyDescent="0.25">
      <c r="A139" s="179"/>
      <c r="B139" s="179"/>
      <c r="C139" s="179"/>
      <c r="D139" s="180"/>
      <c r="F139" s="225">
        <v>242</v>
      </c>
      <c r="G139" s="41" t="s">
        <v>202</v>
      </c>
      <c r="H139" s="247">
        <v>125</v>
      </c>
    </row>
    <row r="140" spans="1:8" s="49" customFormat="1" ht="13.5" x14ac:dyDescent="0.25">
      <c r="A140" s="179"/>
      <c r="B140" s="179"/>
      <c r="C140" s="179"/>
      <c r="D140" s="180"/>
      <c r="F140" s="42">
        <v>386</v>
      </c>
      <c r="G140" s="41" t="s">
        <v>278</v>
      </c>
      <c r="H140" s="247">
        <v>125</v>
      </c>
    </row>
    <row r="141" spans="1:8" s="49" customFormat="1" ht="13.5" x14ac:dyDescent="0.25">
      <c r="A141" s="179"/>
      <c r="B141" s="179"/>
      <c r="C141" s="179"/>
      <c r="D141" s="180"/>
      <c r="F141" s="226"/>
      <c r="G141" s="43"/>
      <c r="H141" s="248"/>
    </row>
    <row r="142" spans="1:8" s="49" customFormat="1" ht="13.5" x14ac:dyDescent="0.25">
      <c r="A142" s="179"/>
      <c r="B142" s="179"/>
      <c r="C142" s="179"/>
      <c r="D142" s="180"/>
      <c r="F142" s="213"/>
      <c r="G142" s="77" t="s">
        <v>206</v>
      </c>
      <c r="H142" s="250">
        <f>SUM(H139:H141)</f>
        <v>250</v>
      </c>
    </row>
    <row r="143" spans="1:8" s="37" customFormat="1" ht="13.5" x14ac:dyDescent="0.25">
      <c r="B143" s="83"/>
      <c r="C143" s="83" t="s">
        <v>22</v>
      </c>
      <c r="D143" s="245"/>
      <c r="G143" s="83" t="s">
        <v>22</v>
      </c>
    </row>
    <row r="144" spans="1:8" s="40" customFormat="1" x14ac:dyDescent="0.2">
      <c r="A144" s="183">
        <v>84</v>
      </c>
      <c r="B144" s="183"/>
      <c r="C144" s="39" t="s">
        <v>134</v>
      </c>
      <c r="D144" s="193">
        <v>250</v>
      </c>
      <c r="F144" s="227" t="s">
        <v>291</v>
      </c>
      <c r="G144" s="41" t="s">
        <v>292</v>
      </c>
      <c r="H144" s="248">
        <v>250</v>
      </c>
    </row>
    <row r="145" spans="1:8" s="40" customFormat="1" x14ac:dyDescent="0.2">
      <c r="A145" s="183">
        <v>229</v>
      </c>
      <c r="B145" s="183"/>
      <c r="C145" s="192" t="s">
        <v>135</v>
      </c>
      <c r="D145" s="257">
        <v>200</v>
      </c>
      <c r="F145" s="52">
        <v>229</v>
      </c>
      <c r="G145" s="192" t="s">
        <v>135</v>
      </c>
      <c r="H145" s="257">
        <v>200</v>
      </c>
    </row>
    <row r="146" spans="1:8" s="40" customFormat="1" x14ac:dyDescent="0.2">
      <c r="A146" s="183"/>
      <c r="B146" s="183"/>
      <c r="C146" s="192"/>
      <c r="D146" s="257"/>
      <c r="F146" s="233"/>
      <c r="G146" s="54"/>
      <c r="H146" s="253"/>
    </row>
    <row r="147" spans="1:8" s="40" customFormat="1" x14ac:dyDescent="0.2">
      <c r="A147" s="52">
        <v>392</v>
      </c>
      <c r="B147" s="52"/>
      <c r="C147" s="39" t="s">
        <v>136</v>
      </c>
      <c r="D147" s="193">
        <v>200</v>
      </c>
      <c r="F147" s="74">
        <v>392</v>
      </c>
      <c r="G147" s="54" t="s">
        <v>240</v>
      </c>
      <c r="H147" s="248">
        <v>180</v>
      </c>
    </row>
    <row r="148" spans="1:8" s="40" customFormat="1" x14ac:dyDescent="0.2">
      <c r="A148" s="183"/>
      <c r="B148" s="191"/>
      <c r="C148" s="192" t="s">
        <v>137</v>
      </c>
      <c r="D148" s="257">
        <v>80</v>
      </c>
      <c r="F148" s="74"/>
      <c r="G148" s="54" t="s">
        <v>93</v>
      </c>
      <c r="H148" s="55">
        <v>40</v>
      </c>
    </row>
    <row r="149" spans="1:8" s="40" customFormat="1" x14ac:dyDescent="0.2">
      <c r="A149" s="183"/>
      <c r="B149" s="183"/>
      <c r="C149" s="39" t="s">
        <v>93</v>
      </c>
      <c r="D149" s="193">
        <v>40</v>
      </c>
      <c r="F149" s="42"/>
      <c r="G149" s="192" t="s">
        <v>137</v>
      </c>
      <c r="H149" s="257">
        <v>80</v>
      </c>
    </row>
    <row r="150" spans="1:8" s="40" customFormat="1" x14ac:dyDescent="0.2">
      <c r="A150" s="183"/>
      <c r="B150" s="183"/>
      <c r="C150" s="39" t="s">
        <v>94</v>
      </c>
      <c r="D150" s="193">
        <v>40</v>
      </c>
      <c r="F150" s="74"/>
      <c r="G150" s="54"/>
      <c r="H150" s="55"/>
    </row>
    <row r="151" spans="1:8" s="40" customFormat="1" x14ac:dyDescent="0.2">
      <c r="A151" s="183"/>
      <c r="B151" s="183"/>
      <c r="C151" s="184" t="s">
        <v>138</v>
      </c>
      <c r="D151" s="193">
        <v>200</v>
      </c>
      <c r="F151" s="74"/>
      <c r="G151" s="56" t="s">
        <v>293</v>
      </c>
      <c r="H151" s="55">
        <v>150</v>
      </c>
    </row>
    <row r="152" spans="1:8" s="40" customFormat="1" ht="13.5" x14ac:dyDescent="0.25">
      <c r="A152" s="72" t="s">
        <v>23</v>
      </c>
      <c r="B152" s="72"/>
      <c r="C152" s="72"/>
      <c r="D152" s="65">
        <f>SUM(D144:D151)</f>
        <v>1010</v>
      </c>
      <c r="F152" s="82"/>
      <c r="G152" s="70" t="s">
        <v>23</v>
      </c>
      <c r="H152" s="258">
        <f>SUM(H144:H151)</f>
        <v>900</v>
      </c>
    </row>
    <row r="153" spans="1:8" s="49" customFormat="1" ht="13.5" x14ac:dyDescent="0.25">
      <c r="A153" s="179"/>
      <c r="B153" s="179"/>
      <c r="C153" s="179"/>
      <c r="D153" s="180"/>
      <c r="F153" s="90"/>
      <c r="G153" s="68" t="s">
        <v>24</v>
      </c>
      <c r="H153" s="259"/>
    </row>
    <row r="154" spans="1:8" s="37" customFormat="1" ht="13.5" customHeight="1" x14ac:dyDescent="0.25">
      <c r="A154" s="83"/>
      <c r="B154" s="83"/>
      <c r="C154" s="83"/>
      <c r="D154" s="245"/>
      <c r="F154" s="225">
        <v>242</v>
      </c>
      <c r="G154" s="41" t="s">
        <v>202</v>
      </c>
      <c r="H154" s="247">
        <v>125</v>
      </c>
    </row>
    <row r="155" spans="1:8" s="40" customFormat="1" x14ac:dyDescent="0.25">
      <c r="A155" s="58"/>
      <c r="B155" s="58"/>
      <c r="C155" s="58"/>
      <c r="D155" s="58"/>
      <c r="F155" s="42">
        <v>386</v>
      </c>
      <c r="G155" s="41" t="s">
        <v>278</v>
      </c>
      <c r="H155" s="247">
        <v>125</v>
      </c>
    </row>
    <row r="156" spans="1:8" s="40" customFormat="1" x14ac:dyDescent="0.25">
      <c r="A156" s="58"/>
      <c r="B156" s="58"/>
      <c r="C156" s="58"/>
      <c r="D156" s="58"/>
      <c r="F156" s="226"/>
      <c r="G156" s="43"/>
      <c r="H156" s="248"/>
    </row>
    <row r="157" spans="1:8" s="40" customFormat="1" ht="13.5" x14ac:dyDescent="0.25">
      <c r="A157" s="58"/>
      <c r="B157" s="58"/>
      <c r="C157" s="58"/>
      <c r="D157" s="58"/>
      <c r="F157" s="213"/>
      <c r="G157" s="72" t="s">
        <v>25</v>
      </c>
      <c r="H157" s="65">
        <f>SUM(H154:H156)</f>
        <v>250</v>
      </c>
    </row>
    <row r="158" spans="1:8" s="49" customFormat="1" ht="13.5" x14ac:dyDescent="0.25">
      <c r="A158" s="58"/>
      <c r="B158" s="58"/>
      <c r="C158" s="58"/>
      <c r="D158" s="58"/>
      <c r="F158" s="90"/>
      <c r="G158" s="80"/>
      <c r="H158" s="260"/>
    </row>
    <row r="159" spans="1:8" s="59" customFormat="1" ht="13.5" x14ac:dyDescent="0.25">
      <c r="A159" s="196"/>
      <c r="B159" s="196"/>
      <c r="C159" s="196"/>
      <c r="D159" s="197"/>
      <c r="F159" s="90"/>
      <c r="G159" s="80"/>
      <c r="H159" s="260"/>
    </row>
    <row r="160" spans="1:8" s="36" customFormat="1" ht="12.75" customHeight="1" x14ac:dyDescent="0.2">
      <c r="B160" s="83"/>
      <c r="C160" s="83" t="s">
        <v>35</v>
      </c>
      <c r="D160" s="245"/>
      <c r="F160" s="215"/>
      <c r="G160" s="36" t="s">
        <v>35</v>
      </c>
      <c r="H160" s="190"/>
    </row>
    <row r="161" spans="1:8" s="40" customFormat="1" ht="12.75" customHeight="1" x14ac:dyDescent="0.2">
      <c r="B161" s="83"/>
      <c r="C161" s="83" t="s">
        <v>97</v>
      </c>
      <c r="D161" s="245"/>
      <c r="F161" s="216"/>
      <c r="G161" s="83" t="s">
        <v>97</v>
      </c>
      <c r="H161" s="261"/>
    </row>
    <row r="162" spans="1:8" s="40" customFormat="1" ht="25.5" x14ac:dyDescent="0.2">
      <c r="A162" s="39"/>
      <c r="B162" s="39"/>
      <c r="C162" s="39" t="s">
        <v>98</v>
      </c>
      <c r="D162" s="39">
        <v>60</v>
      </c>
      <c r="F162" s="84" t="s">
        <v>383</v>
      </c>
      <c r="G162" s="41" t="s">
        <v>216</v>
      </c>
      <c r="H162" s="250">
        <v>40</v>
      </c>
    </row>
    <row r="163" spans="1:8" s="40" customFormat="1" x14ac:dyDescent="0.25">
      <c r="A163" s="39"/>
      <c r="B163" s="39"/>
      <c r="C163" s="39" t="s">
        <v>140</v>
      </c>
      <c r="D163" s="39">
        <v>70</v>
      </c>
      <c r="F163" s="223" t="s">
        <v>241</v>
      </c>
      <c r="G163" s="41" t="s">
        <v>271</v>
      </c>
      <c r="H163" s="247">
        <v>90</v>
      </c>
    </row>
    <row r="164" spans="1:8" s="40" customFormat="1" x14ac:dyDescent="0.25">
      <c r="A164" s="39"/>
      <c r="B164" s="39"/>
      <c r="C164" s="39" t="s">
        <v>129</v>
      </c>
      <c r="D164" s="39">
        <v>160</v>
      </c>
      <c r="F164" s="234" t="s">
        <v>332</v>
      </c>
      <c r="G164" s="39" t="s">
        <v>370</v>
      </c>
      <c r="H164" s="39">
        <v>160</v>
      </c>
    </row>
    <row r="165" spans="1:8" s="40" customFormat="1" x14ac:dyDescent="0.2">
      <c r="A165" s="39"/>
      <c r="B165" s="39"/>
      <c r="C165" s="39" t="s">
        <v>142</v>
      </c>
      <c r="D165" s="39">
        <v>200</v>
      </c>
      <c r="F165" s="224"/>
      <c r="G165" s="67" t="s">
        <v>242</v>
      </c>
      <c r="H165" s="250">
        <v>180</v>
      </c>
    </row>
    <row r="166" spans="1:8" s="40" customFormat="1" x14ac:dyDescent="0.25">
      <c r="A166" s="39"/>
      <c r="B166" s="39"/>
      <c r="C166" s="39" t="s">
        <v>94</v>
      </c>
      <c r="D166" s="39">
        <v>25</v>
      </c>
      <c r="F166" s="84"/>
      <c r="G166" s="54" t="s">
        <v>93</v>
      </c>
      <c r="H166" s="39">
        <v>50</v>
      </c>
    </row>
    <row r="167" spans="1:8" s="40" customFormat="1" x14ac:dyDescent="0.25">
      <c r="A167" s="39"/>
      <c r="B167" s="39"/>
      <c r="C167" s="39" t="s">
        <v>84</v>
      </c>
      <c r="D167" s="39">
        <v>40</v>
      </c>
      <c r="F167" s="42"/>
      <c r="G167" s="41"/>
      <c r="H167" s="248"/>
    </row>
    <row r="168" spans="1:8" s="40" customFormat="1" x14ac:dyDescent="0.25">
      <c r="A168" s="39"/>
      <c r="B168" s="39"/>
      <c r="C168" s="39" t="s">
        <v>143</v>
      </c>
      <c r="D168" s="39">
        <v>200</v>
      </c>
      <c r="F168" s="84"/>
      <c r="G168" s="39" t="s">
        <v>130</v>
      </c>
      <c r="H168" s="39">
        <v>100</v>
      </c>
    </row>
    <row r="169" spans="1:8" s="37" customFormat="1" ht="13.5" x14ac:dyDescent="0.25">
      <c r="A169" s="72" t="s">
        <v>200</v>
      </c>
      <c r="B169" s="72"/>
      <c r="C169" s="64"/>
      <c r="D169" s="65">
        <f>SUM(D162:D168)</f>
        <v>755</v>
      </c>
      <c r="F169" s="48"/>
      <c r="G169" s="70" t="s">
        <v>200</v>
      </c>
      <c r="H169" s="65">
        <f>SUM(H162:H168)</f>
        <v>620</v>
      </c>
    </row>
    <row r="170" spans="1:8" s="37" customFormat="1" ht="13.5" customHeight="1" x14ac:dyDescent="0.25">
      <c r="A170" s="196"/>
      <c r="B170" s="196"/>
      <c r="C170" s="196"/>
      <c r="D170" s="197"/>
      <c r="F170" s="48"/>
      <c r="G170" s="66" t="s">
        <v>201</v>
      </c>
      <c r="H170" s="262"/>
    </row>
    <row r="171" spans="1:8" s="37" customFormat="1" ht="13.5" x14ac:dyDescent="0.25">
      <c r="A171" s="196"/>
      <c r="B171" s="196"/>
      <c r="C171" s="196"/>
      <c r="D171" s="197"/>
      <c r="F171" s="229">
        <v>369</v>
      </c>
      <c r="G171" s="41" t="s">
        <v>231</v>
      </c>
      <c r="H171" s="247">
        <v>125</v>
      </c>
    </row>
    <row r="172" spans="1:8" s="37" customFormat="1" ht="13.5" x14ac:dyDescent="0.25">
      <c r="A172" s="196"/>
      <c r="B172" s="196"/>
      <c r="C172" s="196"/>
      <c r="D172" s="197"/>
      <c r="F172" s="42">
        <v>386</v>
      </c>
      <c r="G172" s="41" t="s">
        <v>203</v>
      </c>
      <c r="H172" s="247">
        <v>125</v>
      </c>
    </row>
    <row r="173" spans="1:8" s="37" customFormat="1" ht="13.5" x14ac:dyDescent="0.25">
      <c r="A173" s="196"/>
      <c r="B173" s="196"/>
      <c r="C173" s="196"/>
      <c r="D173" s="197"/>
      <c r="F173" s="226"/>
      <c r="G173" s="43"/>
      <c r="H173" s="248"/>
    </row>
    <row r="174" spans="1:8" s="37" customFormat="1" ht="11.25" customHeight="1" x14ac:dyDescent="0.25">
      <c r="A174" s="196"/>
      <c r="B174" s="196"/>
      <c r="C174" s="196"/>
      <c r="D174" s="197"/>
      <c r="F174" s="48"/>
      <c r="G174" s="70" t="s">
        <v>206</v>
      </c>
      <c r="H174" s="65">
        <f>SUM(H171:H173)</f>
        <v>250</v>
      </c>
    </row>
    <row r="175" spans="1:8" s="40" customFormat="1" x14ac:dyDescent="0.25">
      <c r="B175" s="83"/>
      <c r="C175" s="83" t="s">
        <v>22</v>
      </c>
      <c r="D175" s="245"/>
      <c r="G175" s="83" t="s">
        <v>22</v>
      </c>
    </row>
    <row r="176" spans="1:8" s="40" customFormat="1" x14ac:dyDescent="0.2">
      <c r="A176" s="52" t="s">
        <v>144</v>
      </c>
      <c r="B176" s="52"/>
      <c r="C176" s="39" t="s">
        <v>145</v>
      </c>
      <c r="D176" s="193">
        <v>250</v>
      </c>
      <c r="F176" s="225">
        <v>130</v>
      </c>
      <c r="G176" s="41" t="s">
        <v>287</v>
      </c>
      <c r="H176" s="247">
        <v>250</v>
      </c>
    </row>
    <row r="177" spans="1:8" s="40" customFormat="1" x14ac:dyDescent="0.2">
      <c r="A177" s="183">
        <v>211</v>
      </c>
      <c r="B177" s="183"/>
      <c r="C177" s="39" t="s">
        <v>146</v>
      </c>
      <c r="D177" s="193">
        <v>140</v>
      </c>
      <c r="F177" s="225">
        <v>231</v>
      </c>
      <c r="G177" s="41" t="s">
        <v>146</v>
      </c>
      <c r="H177" s="248">
        <v>150</v>
      </c>
    </row>
    <row r="178" spans="1:8" s="40" customFormat="1" x14ac:dyDescent="0.2">
      <c r="A178" s="183"/>
      <c r="B178" s="183"/>
      <c r="C178" s="39" t="s">
        <v>147</v>
      </c>
      <c r="D178" s="193">
        <v>60</v>
      </c>
      <c r="F178" s="223">
        <v>75</v>
      </c>
      <c r="G178" s="41" t="s">
        <v>243</v>
      </c>
      <c r="H178" s="248">
        <v>60</v>
      </c>
    </row>
    <row r="179" spans="1:8" s="40" customFormat="1" ht="25.5" x14ac:dyDescent="0.2">
      <c r="A179" s="183"/>
      <c r="B179" s="183"/>
      <c r="C179" s="39" t="s">
        <v>148</v>
      </c>
      <c r="D179" s="193">
        <v>180</v>
      </c>
      <c r="F179" s="74"/>
      <c r="G179" s="54"/>
      <c r="H179" s="55"/>
    </row>
    <row r="180" spans="1:8" s="40" customFormat="1" x14ac:dyDescent="0.2">
      <c r="A180" s="198"/>
      <c r="B180" s="198"/>
      <c r="C180" s="39" t="s">
        <v>93</v>
      </c>
      <c r="D180" s="193">
        <v>40</v>
      </c>
      <c r="F180" s="235"/>
      <c r="G180" s="54" t="s">
        <v>93</v>
      </c>
      <c r="H180" s="55">
        <v>70</v>
      </c>
    </row>
    <row r="181" spans="1:8" s="40" customFormat="1" ht="45.75" customHeight="1" x14ac:dyDescent="0.2">
      <c r="A181" s="183"/>
      <c r="B181" s="183"/>
      <c r="C181" s="39" t="s">
        <v>94</v>
      </c>
      <c r="D181" s="193">
        <v>20</v>
      </c>
      <c r="F181" s="82"/>
      <c r="G181" s="45"/>
      <c r="H181" s="263"/>
    </row>
    <row r="182" spans="1:8" s="40" customFormat="1" x14ac:dyDescent="0.2">
      <c r="A182" s="183"/>
      <c r="B182" s="183"/>
      <c r="C182" s="39" t="s">
        <v>115</v>
      </c>
      <c r="D182" s="193">
        <v>200</v>
      </c>
      <c r="F182" s="74"/>
      <c r="G182" s="54" t="s">
        <v>272</v>
      </c>
      <c r="H182" s="55">
        <v>180</v>
      </c>
    </row>
    <row r="183" spans="1:8" s="37" customFormat="1" ht="13.5" customHeight="1" x14ac:dyDescent="0.25">
      <c r="A183" s="338" t="s">
        <v>23</v>
      </c>
      <c r="B183" s="339"/>
      <c r="C183" s="340"/>
      <c r="D183" s="78">
        <f>SUM(D176:D182)</f>
        <v>890</v>
      </c>
      <c r="F183" s="48"/>
      <c r="G183" s="76" t="s">
        <v>95</v>
      </c>
      <c r="H183" s="65">
        <f>SUM(H176:H182)</f>
        <v>710</v>
      </c>
    </row>
    <row r="184" spans="1:8" s="40" customFormat="1" ht="12.75" customHeight="1" x14ac:dyDescent="0.25">
      <c r="B184" s="83"/>
      <c r="C184" s="83" t="s">
        <v>24</v>
      </c>
      <c r="D184" s="245"/>
      <c r="G184" s="83" t="s">
        <v>24</v>
      </c>
    </row>
    <row r="185" spans="1:8" s="40" customFormat="1" ht="12.75" customHeight="1" x14ac:dyDescent="0.25">
      <c r="A185" s="58"/>
      <c r="B185" s="58"/>
      <c r="C185" s="58"/>
      <c r="D185" s="58"/>
      <c r="F185" s="229">
        <v>369</v>
      </c>
      <c r="G185" s="41" t="s">
        <v>231</v>
      </c>
      <c r="H185" s="247">
        <v>125</v>
      </c>
    </row>
    <row r="186" spans="1:8" s="40" customFormat="1" ht="12.75" customHeight="1" x14ac:dyDescent="0.25">
      <c r="A186" s="58"/>
      <c r="B186" s="58"/>
      <c r="C186" s="58"/>
      <c r="D186" s="58"/>
      <c r="F186" s="42">
        <v>386</v>
      </c>
      <c r="G186" s="41" t="s">
        <v>219</v>
      </c>
      <c r="H186" s="247">
        <v>125</v>
      </c>
    </row>
    <row r="187" spans="1:8" s="59" customFormat="1" ht="13.5" x14ac:dyDescent="0.25">
      <c r="A187" s="80"/>
      <c r="B187" s="80"/>
      <c r="C187" s="79"/>
      <c r="D187" s="260"/>
      <c r="F187" s="236"/>
      <c r="G187" s="70" t="s">
        <v>25</v>
      </c>
      <c r="H187" s="65">
        <f>SUM(H185:H186)</f>
        <v>250</v>
      </c>
    </row>
    <row r="188" spans="1:8" s="36" customFormat="1" ht="12.75" customHeight="1" x14ac:dyDescent="0.25">
      <c r="B188" s="83"/>
      <c r="C188" s="219" t="s">
        <v>37</v>
      </c>
      <c r="D188" s="245"/>
      <c r="G188" s="36" t="s">
        <v>37</v>
      </c>
    </row>
    <row r="189" spans="1:8" s="40" customFormat="1" ht="12.75" customHeight="1" x14ac:dyDescent="0.25">
      <c r="B189" s="83"/>
      <c r="C189" s="83" t="s">
        <v>97</v>
      </c>
      <c r="D189" s="245"/>
      <c r="F189" s="217"/>
      <c r="G189" s="83" t="s">
        <v>97</v>
      </c>
      <c r="H189" s="256"/>
    </row>
    <row r="190" spans="1:8" s="40" customFormat="1" ht="25.5" x14ac:dyDescent="0.25">
      <c r="A190" s="39"/>
      <c r="B190" s="39"/>
      <c r="C190" s="39" t="s">
        <v>132</v>
      </c>
      <c r="D190" s="39">
        <v>70</v>
      </c>
      <c r="F190" s="53"/>
      <c r="G190" s="41" t="s">
        <v>216</v>
      </c>
      <c r="H190" s="248">
        <v>40</v>
      </c>
    </row>
    <row r="191" spans="1:8" s="40" customFormat="1" ht="25.5" x14ac:dyDescent="0.25">
      <c r="A191" s="39"/>
      <c r="B191" s="39"/>
      <c r="C191" s="39" t="s">
        <v>150</v>
      </c>
      <c r="D191" s="39">
        <v>75</v>
      </c>
      <c r="F191" s="84"/>
      <c r="G191" s="39" t="s">
        <v>294</v>
      </c>
      <c r="H191" s="39">
        <v>90</v>
      </c>
    </row>
    <row r="192" spans="1:8" s="40" customFormat="1" x14ac:dyDescent="0.25">
      <c r="A192" s="39"/>
      <c r="B192" s="39"/>
      <c r="C192" s="39" t="s">
        <v>151</v>
      </c>
      <c r="D192" s="39">
        <v>170</v>
      </c>
      <c r="F192" s="84"/>
      <c r="G192" s="39" t="s">
        <v>151</v>
      </c>
      <c r="H192" s="39">
        <v>150</v>
      </c>
    </row>
    <row r="193" spans="1:8" s="40" customFormat="1" x14ac:dyDescent="0.25">
      <c r="A193" s="39"/>
      <c r="B193" s="39"/>
      <c r="C193" s="39" t="s">
        <v>152</v>
      </c>
      <c r="D193" s="39">
        <v>200</v>
      </c>
      <c r="F193" s="224"/>
      <c r="G193" s="67" t="s">
        <v>214</v>
      </c>
      <c r="H193" s="248">
        <v>180</v>
      </c>
    </row>
    <row r="194" spans="1:8" s="40" customFormat="1" x14ac:dyDescent="0.25">
      <c r="A194" s="39"/>
      <c r="B194" s="39"/>
      <c r="C194" s="39" t="s">
        <v>84</v>
      </c>
      <c r="D194" s="39">
        <v>40</v>
      </c>
      <c r="F194" s="84"/>
      <c r="G194" s="39" t="s">
        <v>84</v>
      </c>
      <c r="H194" s="39">
        <v>40</v>
      </c>
    </row>
    <row r="195" spans="1:8" s="40" customFormat="1" x14ac:dyDescent="0.25">
      <c r="A195" s="39"/>
      <c r="B195" s="39"/>
      <c r="C195" s="39" t="s">
        <v>94</v>
      </c>
      <c r="D195" s="39">
        <v>25</v>
      </c>
      <c r="F195" s="84"/>
      <c r="G195" s="39"/>
      <c r="H195" s="39"/>
    </row>
    <row r="196" spans="1:8" s="49" customFormat="1" ht="13.5" x14ac:dyDescent="0.25">
      <c r="A196" s="39"/>
      <c r="B196" s="39"/>
      <c r="C196" s="39" t="s">
        <v>153</v>
      </c>
      <c r="D196" s="39">
        <v>150</v>
      </c>
      <c r="F196" s="42"/>
      <c r="G196" s="39" t="s">
        <v>281</v>
      </c>
      <c r="H196" s="248">
        <v>150</v>
      </c>
    </row>
    <row r="197" spans="1:8" s="37" customFormat="1" ht="13.5" x14ac:dyDescent="0.25">
      <c r="A197" s="72" t="s">
        <v>200</v>
      </c>
      <c r="B197" s="72"/>
      <c r="C197" s="64"/>
      <c r="D197" s="65">
        <f>SUM(D190:D196)</f>
        <v>730</v>
      </c>
      <c r="F197" s="48"/>
      <c r="G197" s="70" t="s">
        <v>200</v>
      </c>
      <c r="H197" s="65">
        <f>SUM(H190:H196)</f>
        <v>650</v>
      </c>
    </row>
    <row r="198" spans="1:8" s="37" customFormat="1" ht="13.5" customHeight="1" x14ac:dyDescent="0.25">
      <c r="A198" s="181"/>
      <c r="B198" s="181"/>
      <c r="C198" s="181"/>
      <c r="D198" s="182"/>
      <c r="G198" s="37" t="s">
        <v>24</v>
      </c>
    </row>
    <row r="199" spans="1:8" s="37" customFormat="1" ht="13.5" x14ac:dyDescent="0.25">
      <c r="A199" s="181"/>
      <c r="B199" s="181"/>
      <c r="C199" s="181"/>
      <c r="D199" s="182"/>
      <c r="F199" s="225">
        <v>241</v>
      </c>
      <c r="G199" s="41" t="s">
        <v>244</v>
      </c>
      <c r="H199" s="247">
        <v>125</v>
      </c>
    </row>
    <row r="200" spans="1:8" s="37" customFormat="1" ht="13.5" x14ac:dyDescent="0.25">
      <c r="A200" s="181"/>
      <c r="B200" s="181"/>
      <c r="C200" s="181"/>
      <c r="D200" s="182"/>
      <c r="F200" s="42">
        <v>386</v>
      </c>
      <c r="G200" s="41" t="s">
        <v>203</v>
      </c>
      <c r="H200" s="247">
        <v>125</v>
      </c>
    </row>
    <row r="201" spans="1:8" s="37" customFormat="1" ht="13.5" x14ac:dyDescent="0.25">
      <c r="A201" s="181"/>
      <c r="B201" s="181"/>
      <c r="C201" s="181"/>
      <c r="D201" s="182"/>
      <c r="F201" s="44"/>
      <c r="G201" s="43"/>
      <c r="H201" s="248"/>
    </row>
    <row r="202" spans="1:8" s="37" customFormat="1" ht="13.5" x14ac:dyDescent="0.25">
      <c r="A202" s="181"/>
      <c r="B202" s="181"/>
      <c r="C202" s="181"/>
      <c r="D202" s="182"/>
      <c r="F202" s="226"/>
      <c r="G202" s="43"/>
      <c r="H202" s="248"/>
    </row>
    <row r="203" spans="1:8" s="40" customFormat="1" ht="13.5" x14ac:dyDescent="0.25">
      <c r="F203" s="48"/>
      <c r="G203" s="70" t="s">
        <v>25</v>
      </c>
      <c r="H203" s="258">
        <f>SUM(H199:H202)</f>
        <v>250</v>
      </c>
    </row>
    <row r="204" spans="1:8" s="40" customFormat="1" x14ac:dyDescent="0.25">
      <c r="B204" s="83"/>
      <c r="C204" s="83" t="s">
        <v>22</v>
      </c>
      <c r="D204" s="245"/>
      <c r="F204" s="196"/>
      <c r="G204" s="196"/>
      <c r="H204" s="197"/>
    </row>
    <row r="205" spans="1:8" s="40" customFormat="1" x14ac:dyDescent="0.2">
      <c r="A205" s="199">
        <v>81</v>
      </c>
      <c r="B205" s="199"/>
      <c r="C205" s="39" t="s">
        <v>154</v>
      </c>
      <c r="D205" s="193">
        <v>250</v>
      </c>
      <c r="F205" s="53">
        <v>113</v>
      </c>
      <c r="G205" s="41" t="s">
        <v>207</v>
      </c>
      <c r="H205" s="249">
        <v>250</v>
      </c>
    </row>
    <row r="206" spans="1:8" s="40" customFormat="1" x14ac:dyDescent="0.2">
      <c r="A206" s="183" t="s">
        <v>155</v>
      </c>
      <c r="B206" s="191"/>
      <c r="C206" s="192" t="s">
        <v>156</v>
      </c>
      <c r="D206" s="257">
        <v>80</v>
      </c>
      <c r="F206" s="223"/>
      <c r="G206" s="69" t="s">
        <v>273</v>
      </c>
      <c r="H206" s="253">
        <v>90</v>
      </c>
    </row>
    <row r="207" spans="1:8" s="40" customFormat="1" ht="25.5" x14ac:dyDescent="0.2">
      <c r="A207" s="183"/>
      <c r="B207" s="183"/>
      <c r="C207" s="39" t="s">
        <v>245</v>
      </c>
      <c r="D207" s="193">
        <v>155</v>
      </c>
      <c r="F207" s="74"/>
      <c r="G207" s="271" t="s">
        <v>371</v>
      </c>
      <c r="H207" s="55">
        <v>150</v>
      </c>
    </row>
    <row r="208" spans="1:8" s="40" customFormat="1" x14ac:dyDescent="0.2">
      <c r="A208" s="183"/>
      <c r="B208" s="183"/>
      <c r="C208" s="39" t="s">
        <v>158</v>
      </c>
      <c r="D208" s="193">
        <v>200</v>
      </c>
      <c r="F208" s="224" t="s">
        <v>213</v>
      </c>
      <c r="G208" s="54" t="s">
        <v>214</v>
      </c>
      <c r="H208" s="247">
        <v>180</v>
      </c>
    </row>
    <row r="209" spans="1:8" s="40" customFormat="1" x14ac:dyDescent="0.2">
      <c r="A209" s="183"/>
      <c r="B209" s="183"/>
      <c r="C209" s="39" t="s">
        <v>91</v>
      </c>
      <c r="D209" s="193">
        <v>200</v>
      </c>
      <c r="F209" s="74"/>
      <c r="G209" s="54" t="s">
        <v>230</v>
      </c>
      <c r="H209" s="55">
        <v>100</v>
      </c>
    </row>
    <row r="210" spans="1:8" s="40" customFormat="1" x14ac:dyDescent="0.2">
      <c r="A210" s="200"/>
      <c r="B210" s="200"/>
      <c r="C210" s="39" t="s">
        <v>93</v>
      </c>
      <c r="D210" s="257">
        <v>60</v>
      </c>
      <c r="F210" s="74"/>
      <c r="G210" s="54" t="s">
        <v>93</v>
      </c>
      <c r="H210" s="55">
        <v>70</v>
      </c>
    </row>
    <row r="211" spans="1:8" s="49" customFormat="1" ht="12.75" customHeight="1" x14ac:dyDescent="0.25">
      <c r="A211" s="183"/>
      <c r="B211" s="183"/>
      <c r="C211" s="39" t="s">
        <v>94</v>
      </c>
      <c r="D211" s="193">
        <v>20</v>
      </c>
      <c r="F211" s="74"/>
      <c r="G211" s="54"/>
      <c r="H211" s="55"/>
    </row>
    <row r="212" spans="1:8" s="37" customFormat="1" ht="13.5" x14ac:dyDescent="0.25">
      <c r="A212" s="72" t="s">
        <v>23</v>
      </c>
      <c r="B212" s="72"/>
      <c r="C212" s="64"/>
      <c r="D212" s="65">
        <f>SUM(D205:D211)</f>
        <v>965</v>
      </c>
      <c r="F212" s="213"/>
      <c r="G212" s="70" t="s">
        <v>23</v>
      </c>
      <c r="H212" s="258">
        <f>SUM(H205:H211)</f>
        <v>840</v>
      </c>
    </row>
    <row r="213" spans="1:8" s="40" customFormat="1" ht="12.75" customHeight="1" x14ac:dyDescent="0.25">
      <c r="B213" s="83"/>
      <c r="C213" s="83"/>
      <c r="D213" s="245"/>
      <c r="F213" s="181"/>
      <c r="G213" s="83" t="s">
        <v>24</v>
      </c>
      <c r="H213" s="182"/>
    </row>
    <row r="214" spans="1:8" s="40" customFormat="1" x14ac:dyDescent="0.25">
      <c r="A214" s="58"/>
      <c r="B214" s="58"/>
      <c r="C214" s="58"/>
      <c r="D214" s="58"/>
      <c r="F214" s="225">
        <v>241</v>
      </c>
      <c r="G214" s="41" t="s">
        <v>244</v>
      </c>
      <c r="H214" s="247">
        <v>125</v>
      </c>
    </row>
    <row r="215" spans="1:8" s="49" customFormat="1" ht="13.5" x14ac:dyDescent="0.25">
      <c r="A215" s="58"/>
      <c r="B215" s="58"/>
      <c r="C215" s="58"/>
      <c r="D215" s="58"/>
      <c r="F215" s="42">
        <v>386</v>
      </c>
      <c r="G215" s="41" t="s">
        <v>205</v>
      </c>
      <c r="H215" s="247">
        <v>125</v>
      </c>
    </row>
    <row r="216" spans="1:8" s="59" customFormat="1" ht="13.5" x14ac:dyDescent="0.25">
      <c r="A216" s="80"/>
      <c r="B216" s="80"/>
      <c r="C216" s="79"/>
      <c r="D216" s="260"/>
      <c r="F216" s="226"/>
      <c r="G216" s="43"/>
      <c r="H216" s="248"/>
    </row>
    <row r="217" spans="1:8" s="35" customFormat="1" ht="13.5" x14ac:dyDescent="0.25">
      <c r="A217" s="201"/>
      <c r="B217" s="201"/>
      <c r="C217" s="201"/>
      <c r="D217" s="256"/>
      <c r="F217" s="236"/>
      <c r="G217" s="70" t="s">
        <v>25</v>
      </c>
      <c r="H217" s="65">
        <f>SUM(H214:H216)</f>
        <v>250</v>
      </c>
    </row>
    <row r="218" spans="1:8" s="36" customFormat="1" ht="12.75" customHeight="1" x14ac:dyDescent="0.25">
      <c r="B218" s="83"/>
      <c r="C218" s="219" t="s">
        <v>39</v>
      </c>
      <c r="D218" s="245"/>
      <c r="F218" s="201"/>
      <c r="G218" s="36" t="s">
        <v>39</v>
      </c>
      <c r="H218" s="256"/>
    </row>
    <row r="219" spans="1:8" s="40" customFormat="1" ht="12.75" customHeight="1" x14ac:dyDescent="0.25">
      <c r="B219" s="83"/>
      <c r="C219" s="83" t="s">
        <v>97</v>
      </c>
      <c r="D219" s="245"/>
      <c r="F219" s="34"/>
      <c r="G219" s="83" t="s">
        <v>97</v>
      </c>
      <c r="H219" s="245"/>
    </row>
    <row r="220" spans="1:8" s="40" customFormat="1" ht="25.5" x14ac:dyDescent="0.2">
      <c r="A220" s="39"/>
      <c r="B220" s="39"/>
      <c r="C220" s="202" t="s">
        <v>160</v>
      </c>
      <c r="D220" s="268">
        <v>80</v>
      </c>
      <c r="F220" s="228" t="s">
        <v>223</v>
      </c>
      <c r="G220" s="41" t="s">
        <v>224</v>
      </c>
      <c r="H220" s="248">
        <v>60</v>
      </c>
    </row>
    <row r="221" spans="1:8" s="40" customFormat="1" ht="25.5" x14ac:dyDescent="0.25">
      <c r="A221" s="39"/>
      <c r="B221" s="39"/>
      <c r="C221" s="39" t="s">
        <v>246</v>
      </c>
      <c r="D221" s="39">
        <v>110</v>
      </c>
      <c r="F221" s="237"/>
      <c r="G221" s="39" t="s">
        <v>246</v>
      </c>
      <c r="H221" s="39">
        <v>110</v>
      </c>
    </row>
    <row r="222" spans="1:8" s="40" customFormat="1" ht="25.5" x14ac:dyDescent="0.25">
      <c r="A222" s="39"/>
      <c r="B222" s="39"/>
      <c r="C222" s="39" t="s">
        <v>247</v>
      </c>
      <c r="D222" s="39">
        <v>155</v>
      </c>
      <c r="F222" s="53"/>
      <c r="G222" s="39" t="s">
        <v>247</v>
      </c>
      <c r="H222" s="249">
        <v>155</v>
      </c>
    </row>
    <row r="223" spans="1:8" s="40" customFormat="1" x14ac:dyDescent="0.2">
      <c r="A223" s="39"/>
      <c r="B223" s="39"/>
      <c r="C223" s="39" t="s">
        <v>101</v>
      </c>
      <c r="D223" s="39">
        <v>200</v>
      </c>
      <c r="F223" s="84"/>
      <c r="G223" s="67" t="s">
        <v>295</v>
      </c>
      <c r="H223" s="250">
        <v>180</v>
      </c>
    </row>
    <row r="224" spans="1:8" s="40" customFormat="1" x14ac:dyDescent="0.25">
      <c r="A224" s="39"/>
      <c r="B224" s="39"/>
      <c r="C224" s="39" t="s">
        <v>94</v>
      </c>
      <c r="D224" s="39">
        <v>25</v>
      </c>
      <c r="F224" s="84"/>
      <c r="G224" s="39"/>
      <c r="H224" s="39"/>
    </row>
    <row r="225" spans="1:8" s="40" customFormat="1" x14ac:dyDescent="0.25">
      <c r="A225" s="39"/>
      <c r="B225" s="39"/>
      <c r="C225" s="39" t="s">
        <v>84</v>
      </c>
      <c r="D225" s="39">
        <v>40</v>
      </c>
      <c r="F225" s="84"/>
      <c r="G225" s="39" t="s">
        <v>84</v>
      </c>
      <c r="H225" s="39">
        <v>40</v>
      </c>
    </row>
    <row r="226" spans="1:8" s="40" customFormat="1" ht="25.5" x14ac:dyDescent="0.25">
      <c r="A226" s="39"/>
      <c r="B226" s="39"/>
      <c r="C226" s="39" t="s">
        <v>164</v>
      </c>
      <c r="D226" s="39">
        <v>25</v>
      </c>
      <c r="F226" s="42"/>
      <c r="G226" s="39" t="s">
        <v>164</v>
      </c>
      <c r="H226" s="39">
        <v>25</v>
      </c>
    </row>
    <row r="227" spans="1:8" s="49" customFormat="1" ht="13.5" x14ac:dyDescent="0.25">
      <c r="A227" s="72" t="s">
        <v>200</v>
      </c>
      <c r="B227" s="72"/>
      <c r="C227" s="64"/>
      <c r="D227" s="65">
        <f>SUM(D220:D226)</f>
        <v>635</v>
      </c>
      <c r="F227" s="213"/>
      <c r="G227" s="70" t="s">
        <v>200</v>
      </c>
      <c r="H227" s="65">
        <f>SUM(H220:H226)</f>
        <v>570</v>
      </c>
    </row>
    <row r="228" spans="1:8" s="37" customFormat="1" ht="13.5" x14ac:dyDescent="0.25">
      <c r="A228" s="181"/>
      <c r="B228" s="181"/>
      <c r="C228" s="181"/>
      <c r="D228" s="182"/>
      <c r="F228" s="48"/>
      <c r="G228" s="66" t="s">
        <v>201</v>
      </c>
      <c r="H228" s="262"/>
    </row>
    <row r="229" spans="1:8" s="37" customFormat="1" ht="13.5" customHeight="1" x14ac:dyDescent="0.25">
      <c r="A229" s="181"/>
      <c r="B229" s="181"/>
      <c r="C229" s="181"/>
      <c r="D229" s="182"/>
      <c r="F229" s="227">
        <v>366</v>
      </c>
      <c r="G229" s="41" t="s">
        <v>239</v>
      </c>
      <c r="H229" s="247">
        <v>125</v>
      </c>
    </row>
    <row r="230" spans="1:8" s="37" customFormat="1" ht="13.5" x14ac:dyDescent="0.25">
      <c r="A230" s="181"/>
      <c r="B230" s="181"/>
      <c r="C230" s="181"/>
      <c r="D230" s="182"/>
      <c r="F230" s="42">
        <v>386</v>
      </c>
      <c r="G230" s="41" t="s">
        <v>205</v>
      </c>
      <c r="H230" s="247">
        <v>125</v>
      </c>
    </row>
    <row r="231" spans="1:8" s="37" customFormat="1" ht="13.5" x14ac:dyDescent="0.25">
      <c r="A231" s="181"/>
      <c r="B231" s="181"/>
      <c r="C231" s="181"/>
      <c r="D231" s="182"/>
      <c r="F231" s="226"/>
      <c r="G231" s="43"/>
      <c r="H231" s="248"/>
    </row>
    <row r="232" spans="1:8" s="37" customFormat="1" ht="13.5" x14ac:dyDescent="0.25">
      <c r="A232" s="181"/>
      <c r="B232" s="181"/>
      <c r="C232" s="181"/>
      <c r="D232" s="182"/>
      <c r="F232" s="48"/>
      <c r="G232" s="70" t="s">
        <v>206</v>
      </c>
      <c r="H232" s="65">
        <f>SUM(H229:H231)</f>
        <v>250</v>
      </c>
    </row>
    <row r="233" spans="1:8" s="37" customFormat="1" ht="13.5" x14ac:dyDescent="0.25">
      <c r="A233" s="181"/>
      <c r="B233" s="181"/>
      <c r="C233" s="181"/>
      <c r="D233" s="182"/>
    </row>
    <row r="234" spans="1:8" s="40" customFormat="1" x14ac:dyDescent="0.25">
      <c r="B234" s="83"/>
      <c r="C234" s="83" t="s">
        <v>22</v>
      </c>
      <c r="D234" s="245"/>
      <c r="G234" s="83" t="s">
        <v>22</v>
      </c>
    </row>
    <row r="235" spans="1:8" s="40" customFormat="1" x14ac:dyDescent="0.2">
      <c r="A235" s="203"/>
      <c r="B235" s="203"/>
      <c r="C235" s="39" t="s">
        <v>165</v>
      </c>
      <c r="D235" s="193">
        <v>60</v>
      </c>
      <c r="F235" s="238" t="s">
        <v>248</v>
      </c>
      <c r="G235" s="41" t="s">
        <v>249</v>
      </c>
      <c r="H235" s="248">
        <v>60</v>
      </c>
    </row>
    <row r="236" spans="1:8" s="40" customFormat="1" x14ac:dyDescent="0.2">
      <c r="A236" s="204" t="s">
        <v>166</v>
      </c>
      <c r="B236" s="204"/>
      <c r="C236" s="205" t="s">
        <v>194</v>
      </c>
      <c r="D236" s="257">
        <v>250</v>
      </c>
      <c r="F236" s="239" t="s">
        <v>250</v>
      </c>
      <c r="G236" s="41" t="s">
        <v>194</v>
      </c>
      <c r="H236" s="247">
        <v>250</v>
      </c>
    </row>
    <row r="237" spans="1:8" s="40" customFormat="1" ht="30.75" customHeight="1" x14ac:dyDescent="0.2">
      <c r="A237" s="183">
        <v>234</v>
      </c>
      <c r="B237" s="183"/>
      <c r="C237" s="39" t="s">
        <v>168</v>
      </c>
      <c r="D237" s="193">
        <v>80</v>
      </c>
      <c r="F237" s="223" t="s">
        <v>241</v>
      </c>
      <c r="G237" s="41" t="s">
        <v>251</v>
      </c>
      <c r="H237" s="247">
        <v>110</v>
      </c>
    </row>
    <row r="238" spans="1:8" s="40" customFormat="1" x14ac:dyDescent="0.2">
      <c r="A238" s="183">
        <v>125</v>
      </c>
      <c r="B238" s="183"/>
      <c r="C238" s="192" t="s">
        <v>252</v>
      </c>
      <c r="D238" s="257">
        <v>145</v>
      </c>
      <c r="F238" s="74">
        <v>125</v>
      </c>
      <c r="G238" s="54" t="s">
        <v>151</v>
      </c>
      <c r="H238" s="55">
        <v>150</v>
      </c>
    </row>
    <row r="239" spans="1:8" s="40" customFormat="1" x14ac:dyDescent="0.2">
      <c r="A239" s="183">
        <v>397</v>
      </c>
      <c r="B239" s="183"/>
      <c r="C239" s="39" t="s">
        <v>170</v>
      </c>
      <c r="D239" s="193">
        <v>200</v>
      </c>
      <c r="F239" s="224" t="s">
        <v>213</v>
      </c>
      <c r="G239" s="41" t="s">
        <v>214</v>
      </c>
      <c r="H239" s="247">
        <v>180</v>
      </c>
    </row>
    <row r="240" spans="1:8" s="40" customFormat="1" x14ac:dyDescent="0.2">
      <c r="A240" s="183"/>
      <c r="B240" s="183"/>
      <c r="C240" s="39" t="s">
        <v>93</v>
      </c>
      <c r="D240" s="257">
        <v>60</v>
      </c>
      <c r="F240" s="74"/>
      <c r="G240" s="54" t="s">
        <v>253</v>
      </c>
      <c r="H240" s="55">
        <v>70</v>
      </c>
    </row>
    <row r="241" spans="1:8" s="40" customFormat="1" x14ac:dyDescent="0.2">
      <c r="A241" s="183"/>
      <c r="B241" s="183"/>
      <c r="C241" s="39" t="s">
        <v>94</v>
      </c>
      <c r="D241" s="193">
        <v>40</v>
      </c>
      <c r="F241" s="74"/>
      <c r="G241" s="54"/>
      <c r="H241" s="55"/>
    </row>
    <row r="242" spans="1:8" s="40" customFormat="1" x14ac:dyDescent="0.2">
      <c r="A242" s="183"/>
      <c r="B242" s="183"/>
      <c r="C242" s="39" t="s">
        <v>108</v>
      </c>
      <c r="D242" s="193">
        <v>200</v>
      </c>
      <c r="F242" s="42"/>
      <c r="G242" s="54"/>
      <c r="H242" s="55"/>
    </row>
    <row r="243" spans="1:8" s="37" customFormat="1" ht="13.5" x14ac:dyDescent="0.25">
      <c r="A243" s="64" t="s">
        <v>23</v>
      </c>
      <c r="B243" s="64"/>
      <c r="C243" s="64"/>
      <c r="D243" s="39">
        <f>SUM(D235:D242)</f>
        <v>1035</v>
      </c>
      <c r="F243" s="48"/>
      <c r="G243" s="76" t="s">
        <v>95</v>
      </c>
      <c r="H243" s="65">
        <f>SUM(H235:H242)</f>
        <v>820</v>
      </c>
    </row>
    <row r="244" spans="1:8" s="40" customFormat="1" ht="12.75" customHeight="1" x14ac:dyDescent="0.25">
      <c r="B244" s="83"/>
      <c r="C244" s="83"/>
      <c r="D244" s="245"/>
      <c r="G244" s="83" t="s">
        <v>24</v>
      </c>
    </row>
    <row r="245" spans="1:8" s="40" customFormat="1" x14ac:dyDescent="0.25">
      <c r="A245" s="58"/>
      <c r="B245" s="58"/>
      <c r="C245" s="58"/>
      <c r="D245" s="58"/>
      <c r="F245" s="227">
        <v>366</v>
      </c>
      <c r="G245" s="41" t="s">
        <v>239</v>
      </c>
      <c r="H245" s="247">
        <v>125</v>
      </c>
    </row>
    <row r="246" spans="1:8" s="40" customFormat="1" x14ac:dyDescent="0.25">
      <c r="A246" s="58"/>
      <c r="B246" s="58"/>
      <c r="C246" s="58"/>
      <c r="D246" s="58"/>
      <c r="F246" s="42">
        <v>386</v>
      </c>
      <c r="G246" s="41" t="s">
        <v>205</v>
      </c>
      <c r="H246" s="247">
        <v>125</v>
      </c>
    </row>
    <row r="247" spans="1:8" s="49" customFormat="1" ht="13.5" x14ac:dyDescent="0.25">
      <c r="A247" s="58"/>
      <c r="B247" s="58"/>
      <c r="C247" s="58"/>
      <c r="D247" s="58"/>
      <c r="F247" s="213"/>
      <c r="G247" s="67"/>
      <c r="H247" s="250"/>
    </row>
    <row r="248" spans="1:8" s="59" customFormat="1" ht="13.5" x14ac:dyDescent="0.25">
      <c r="A248" s="80"/>
      <c r="B248" s="80"/>
      <c r="C248" s="79"/>
      <c r="D248" s="260"/>
      <c r="F248" s="236"/>
      <c r="G248" s="70" t="s">
        <v>25</v>
      </c>
      <c r="H248" s="65">
        <f>SUM(H245:H247)</f>
        <v>250</v>
      </c>
    </row>
    <row r="249" spans="1:8" s="36" customFormat="1" ht="19.5" customHeight="1" x14ac:dyDescent="0.25">
      <c r="B249" s="83"/>
      <c r="C249" s="219" t="s">
        <v>41</v>
      </c>
      <c r="D249" s="245"/>
    </row>
    <row r="250" spans="1:8" s="40" customFormat="1" ht="12.75" customHeight="1" x14ac:dyDescent="0.25">
      <c r="B250" s="83"/>
      <c r="C250" s="83" t="s">
        <v>97</v>
      </c>
      <c r="D250" s="245"/>
      <c r="F250" s="217"/>
      <c r="G250" s="83" t="s">
        <v>97</v>
      </c>
      <c r="H250" s="256"/>
    </row>
    <row r="251" spans="1:8" s="40" customFormat="1" ht="25.5" x14ac:dyDescent="0.25">
      <c r="A251" s="206"/>
      <c r="B251" s="206"/>
      <c r="C251" s="39" t="s">
        <v>254</v>
      </c>
      <c r="D251" s="39">
        <v>175</v>
      </c>
      <c r="F251" s="223"/>
      <c r="G251" s="39" t="s">
        <v>254</v>
      </c>
      <c r="H251" s="39">
        <v>175</v>
      </c>
    </row>
    <row r="252" spans="1:8" s="40" customFormat="1" x14ac:dyDescent="0.25">
      <c r="A252" s="206"/>
      <c r="B252" s="206"/>
      <c r="C252" s="39" t="s">
        <v>83</v>
      </c>
      <c r="D252" s="39">
        <v>200</v>
      </c>
      <c r="F252" s="224" t="s">
        <v>199</v>
      </c>
      <c r="G252" s="41" t="s">
        <v>83</v>
      </c>
      <c r="H252" s="248">
        <v>180</v>
      </c>
    </row>
    <row r="253" spans="1:8" s="40" customFormat="1" x14ac:dyDescent="0.25">
      <c r="A253" s="206"/>
      <c r="B253" s="206"/>
      <c r="C253" s="39" t="s">
        <v>84</v>
      </c>
      <c r="D253" s="39">
        <v>40</v>
      </c>
      <c r="F253" s="240"/>
      <c r="G253" s="39" t="s">
        <v>84</v>
      </c>
      <c r="H253" s="39">
        <v>40</v>
      </c>
    </row>
    <row r="254" spans="1:8" s="40" customFormat="1" ht="25.5" x14ac:dyDescent="0.2">
      <c r="A254" s="39"/>
      <c r="B254" s="39"/>
      <c r="C254" s="39" t="s">
        <v>174</v>
      </c>
      <c r="D254" s="39">
        <v>180</v>
      </c>
      <c r="F254" s="84"/>
      <c r="G254" s="54" t="s">
        <v>372</v>
      </c>
      <c r="H254" s="250">
        <v>180</v>
      </c>
    </row>
    <row r="255" spans="1:8" s="37" customFormat="1" ht="13.5" x14ac:dyDescent="0.25">
      <c r="A255" s="72" t="s">
        <v>200</v>
      </c>
      <c r="B255" s="72"/>
      <c r="C255" s="64"/>
      <c r="D255" s="65">
        <f>SUM(D251:D254)</f>
        <v>595</v>
      </c>
      <c r="F255" s="48"/>
      <c r="G255" s="70" t="s">
        <v>200</v>
      </c>
      <c r="H255" s="65">
        <f>SUM(H251:H254)</f>
        <v>575</v>
      </c>
    </row>
    <row r="256" spans="1:8" s="37" customFormat="1" ht="13.5" customHeight="1" x14ac:dyDescent="0.25">
      <c r="A256" s="181"/>
      <c r="B256" s="181"/>
      <c r="C256" s="181"/>
      <c r="D256" s="182"/>
      <c r="F256" s="48"/>
      <c r="G256" s="66" t="s">
        <v>201</v>
      </c>
      <c r="H256" s="262"/>
    </row>
    <row r="257" spans="1:8" s="37" customFormat="1" ht="13.5" x14ac:dyDescent="0.25">
      <c r="A257" s="181"/>
      <c r="B257" s="181"/>
      <c r="C257" s="181"/>
      <c r="D257" s="182"/>
      <c r="F257" s="225">
        <v>242</v>
      </c>
      <c r="G257" s="41" t="s">
        <v>202</v>
      </c>
      <c r="H257" s="247">
        <v>125</v>
      </c>
    </row>
    <row r="258" spans="1:8" s="37" customFormat="1" ht="13.5" x14ac:dyDescent="0.25">
      <c r="A258" s="181"/>
      <c r="B258" s="181"/>
      <c r="C258" s="181"/>
      <c r="D258" s="182"/>
      <c r="F258" s="42">
        <v>386</v>
      </c>
      <c r="G258" s="41" t="s">
        <v>203</v>
      </c>
      <c r="H258" s="247">
        <v>125</v>
      </c>
    </row>
    <row r="259" spans="1:8" s="37" customFormat="1" ht="13.5" x14ac:dyDescent="0.2">
      <c r="A259" s="181"/>
      <c r="B259" s="181"/>
      <c r="C259" s="181"/>
      <c r="D259" s="182"/>
      <c r="F259" s="48"/>
      <c r="G259" s="67"/>
      <c r="H259" s="250"/>
    </row>
    <row r="260" spans="1:8" s="37" customFormat="1" ht="13.5" x14ac:dyDescent="0.25">
      <c r="A260" s="181"/>
      <c r="B260" s="181"/>
      <c r="C260" s="181"/>
      <c r="D260" s="182"/>
      <c r="F260" s="48"/>
      <c r="G260" s="70" t="s">
        <v>206</v>
      </c>
      <c r="H260" s="65">
        <f>SUM(H257:H259)</f>
        <v>250</v>
      </c>
    </row>
    <row r="261" spans="1:8" s="40" customFormat="1" ht="12.75" customHeight="1" x14ac:dyDescent="0.25">
      <c r="B261" s="83"/>
      <c r="C261" s="83" t="s">
        <v>22</v>
      </c>
      <c r="D261" s="245"/>
      <c r="G261" s="83" t="s">
        <v>22</v>
      </c>
    </row>
    <row r="262" spans="1:8" s="40" customFormat="1" x14ac:dyDescent="0.2">
      <c r="A262" s="52" t="s">
        <v>175</v>
      </c>
      <c r="B262" s="52"/>
      <c r="C262" s="39" t="s">
        <v>176</v>
      </c>
      <c r="D262" s="193">
        <v>250</v>
      </c>
      <c r="F262" s="227">
        <v>115</v>
      </c>
      <c r="G262" s="41" t="s">
        <v>255</v>
      </c>
      <c r="H262" s="248">
        <v>250</v>
      </c>
    </row>
    <row r="263" spans="1:8" s="40" customFormat="1" ht="25.5" x14ac:dyDescent="0.2">
      <c r="A263" s="52">
        <v>267</v>
      </c>
      <c r="B263" s="52"/>
      <c r="C263" s="39" t="s">
        <v>177</v>
      </c>
      <c r="D263" s="193">
        <v>75</v>
      </c>
      <c r="F263" s="74"/>
      <c r="G263" s="41" t="s">
        <v>296</v>
      </c>
      <c r="H263" s="55">
        <v>90</v>
      </c>
    </row>
    <row r="264" spans="1:8" s="40" customFormat="1" ht="25.5" x14ac:dyDescent="0.2">
      <c r="A264" s="183"/>
      <c r="B264" s="183"/>
      <c r="C264" s="39" t="s">
        <v>256</v>
      </c>
      <c r="D264" s="257">
        <v>155</v>
      </c>
      <c r="F264" s="74"/>
      <c r="G264" s="54" t="s">
        <v>256</v>
      </c>
      <c r="H264" s="253">
        <v>155</v>
      </c>
    </row>
    <row r="265" spans="1:8" s="40" customFormat="1" ht="25.5" x14ac:dyDescent="0.2">
      <c r="A265" s="207" t="s">
        <v>179</v>
      </c>
      <c r="B265" s="207"/>
      <c r="C265" s="39" t="s">
        <v>180</v>
      </c>
      <c r="D265" s="193">
        <v>200</v>
      </c>
      <c r="F265" s="74" t="s">
        <v>179</v>
      </c>
      <c r="G265" s="54" t="s">
        <v>257</v>
      </c>
      <c r="H265" s="248">
        <v>180</v>
      </c>
    </row>
    <row r="266" spans="1:8" s="40" customFormat="1" x14ac:dyDescent="0.2">
      <c r="A266" s="183"/>
      <c r="B266" s="183"/>
      <c r="C266" s="39" t="s">
        <v>93</v>
      </c>
      <c r="D266" s="193">
        <v>40</v>
      </c>
      <c r="F266" s="74"/>
      <c r="G266" s="54" t="s">
        <v>93</v>
      </c>
      <c r="H266" s="55">
        <v>40</v>
      </c>
    </row>
    <row r="267" spans="1:8" s="40" customFormat="1" x14ac:dyDescent="0.2">
      <c r="A267" s="183"/>
      <c r="B267" s="183"/>
      <c r="C267" s="39" t="s">
        <v>94</v>
      </c>
      <c r="D267" s="193">
        <v>20</v>
      </c>
      <c r="F267" s="74"/>
      <c r="G267" s="54"/>
      <c r="H267" s="55"/>
    </row>
    <row r="268" spans="1:8" s="49" customFormat="1" ht="25.5" x14ac:dyDescent="0.25">
      <c r="A268" s="183"/>
      <c r="B268" s="183"/>
      <c r="C268" s="39" t="s">
        <v>181</v>
      </c>
      <c r="D268" s="193">
        <v>180</v>
      </c>
      <c r="F268" s="42"/>
      <c r="G268" s="54"/>
      <c r="H268" s="55"/>
    </row>
    <row r="269" spans="1:8" s="37" customFormat="1" ht="13.5" customHeight="1" x14ac:dyDescent="0.25">
      <c r="A269" s="335" t="s">
        <v>23</v>
      </c>
      <c r="B269" s="336"/>
      <c r="C269" s="337"/>
      <c r="D269" s="63">
        <f>SUM(D262:D268)</f>
        <v>920</v>
      </c>
      <c r="F269" s="48"/>
      <c r="G269" s="76" t="s">
        <v>95</v>
      </c>
      <c r="H269" s="65">
        <f>SUM(H262:H268)</f>
        <v>715</v>
      </c>
    </row>
    <row r="270" spans="1:8" s="40" customFormat="1" ht="12.75" customHeight="1" x14ac:dyDescent="0.25">
      <c r="B270" s="83"/>
      <c r="C270" s="83"/>
      <c r="D270" s="245"/>
      <c r="F270" s="181"/>
      <c r="G270" s="83" t="s">
        <v>24</v>
      </c>
      <c r="H270" s="182"/>
    </row>
    <row r="271" spans="1:8" s="40" customFormat="1" x14ac:dyDescent="0.25">
      <c r="A271" s="58"/>
      <c r="B271" s="58"/>
      <c r="C271" s="58"/>
      <c r="D271" s="58"/>
      <c r="F271" s="225">
        <v>242</v>
      </c>
      <c r="G271" s="41" t="s">
        <v>202</v>
      </c>
      <c r="H271" s="247">
        <v>125</v>
      </c>
    </row>
    <row r="272" spans="1:8" s="40" customFormat="1" x14ac:dyDescent="0.25">
      <c r="A272" s="58"/>
      <c r="B272" s="58"/>
      <c r="C272" s="58"/>
      <c r="D272" s="58"/>
      <c r="F272" s="42">
        <v>386</v>
      </c>
      <c r="G272" s="41" t="s">
        <v>219</v>
      </c>
      <c r="H272" s="247">
        <v>125</v>
      </c>
    </row>
    <row r="273" spans="1:8" s="49" customFormat="1" ht="13.5" x14ac:dyDescent="0.25">
      <c r="A273" s="58"/>
      <c r="B273" s="58"/>
      <c r="C273" s="58"/>
      <c r="D273" s="58"/>
      <c r="F273" s="213"/>
      <c r="G273" s="67"/>
      <c r="H273" s="250"/>
    </row>
    <row r="274" spans="1:8" s="59" customFormat="1" ht="13.5" x14ac:dyDescent="0.25">
      <c r="A274" s="80"/>
      <c r="B274" s="80"/>
      <c r="C274" s="79"/>
      <c r="D274" s="260"/>
      <c r="F274" s="236"/>
      <c r="G274" s="70" t="s">
        <v>25</v>
      </c>
      <c r="H274" s="65">
        <f>SUM(H271:H273)</f>
        <v>250</v>
      </c>
    </row>
    <row r="275" spans="1:8" s="36" customFormat="1" ht="19.5" customHeight="1" x14ac:dyDescent="0.25">
      <c r="B275" s="83"/>
      <c r="C275" s="219" t="s">
        <v>43</v>
      </c>
      <c r="D275" s="245"/>
      <c r="G275" s="219" t="s">
        <v>43</v>
      </c>
    </row>
    <row r="276" spans="1:8" s="40" customFormat="1" ht="12.75" customHeight="1" x14ac:dyDescent="0.25">
      <c r="B276" s="83"/>
      <c r="C276" s="83" t="s">
        <v>97</v>
      </c>
      <c r="D276" s="245"/>
      <c r="G276" s="83" t="s">
        <v>97</v>
      </c>
    </row>
    <row r="277" spans="1:8" s="40" customFormat="1" ht="25.5" x14ac:dyDescent="0.25">
      <c r="A277" s="39"/>
      <c r="B277" s="39"/>
      <c r="C277" s="39" t="s">
        <v>275</v>
      </c>
      <c r="D277" s="39">
        <v>70</v>
      </c>
      <c r="F277" s="53"/>
      <c r="G277" s="41" t="s">
        <v>216</v>
      </c>
      <c r="H277" s="248">
        <v>40</v>
      </c>
    </row>
    <row r="278" spans="1:8" s="40" customFormat="1" ht="25.5" x14ac:dyDescent="0.25">
      <c r="A278" s="39" t="s">
        <v>258</v>
      </c>
      <c r="B278" s="39"/>
      <c r="C278" s="39" t="s">
        <v>259</v>
      </c>
      <c r="D278" s="39">
        <v>115</v>
      </c>
      <c r="F278" s="84" t="s">
        <v>258</v>
      </c>
      <c r="G278" s="39" t="s">
        <v>259</v>
      </c>
      <c r="H278" s="39">
        <v>115</v>
      </c>
    </row>
    <row r="279" spans="1:8" s="40" customFormat="1" ht="25.5" x14ac:dyDescent="0.25">
      <c r="A279" s="39" t="s">
        <v>260</v>
      </c>
      <c r="B279" s="39"/>
      <c r="C279" s="39" t="s">
        <v>261</v>
      </c>
      <c r="D279" s="39">
        <v>115</v>
      </c>
      <c r="F279" s="84" t="s">
        <v>260</v>
      </c>
      <c r="G279" s="39" t="s">
        <v>192</v>
      </c>
      <c r="H279" s="39">
        <v>150</v>
      </c>
    </row>
    <row r="280" spans="1:8" s="40" customFormat="1" x14ac:dyDescent="0.25">
      <c r="A280" s="39" t="s">
        <v>262</v>
      </c>
      <c r="B280" s="39"/>
      <c r="C280" s="39" t="s">
        <v>114</v>
      </c>
      <c r="D280" s="39">
        <v>200</v>
      </c>
      <c r="F280" s="84" t="s">
        <v>262</v>
      </c>
      <c r="G280" s="39" t="s">
        <v>114</v>
      </c>
      <c r="H280" s="248">
        <v>180</v>
      </c>
    </row>
    <row r="281" spans="1:8" s="40" customFormat="1" x14ac:dyDescent="0.25">
      <c r="A281" s="39"/>
      <c r="B281" s="39"/>
      <c r="C281" s="39" t="s">
        <v>94</v>
      </c>
      <c r="D281" s="39">
        <v>25</v>
      </c>
      <c r="F281" s="84"/>
      <c r="G281" s="39" t="s">
        <v>84</v>
      </c>
      <c r="H281" s="39">
        <v>40</v>
      </c>
    </row>
    <row r="282" spans="1:8" s="40" customFormat="1" x14ac:dyDescent="0.2">
      <c r="A282" s="39"/>
      <c r="B282" s="39"/>
      <c r="C282" s="39" t="s">
        <v>84</v>
      </c>
      <c r="D282" s="39">
        <v>40</v>
      </c>
      <c r="F282" s="84"/>
      <c r="G282" s="67"/>
      <c r="H282" s="250"/>
    </row>
    <row r="283" spans="1:8" s="40" customFormat="1" x14ac:dyDescent="0.25">
      <c r="A283" s="39"/>
      <c r="B283" s="39"/>
      <c r="C283" s="39" t="s">
        <v>186</v>
      </c>
      <c r="D283" s="39">
        <v>120</v>
      </c>
      <c r="F283" s="82"/>
      <c r="G283" s="39" t="s">
        <v>263</v>
      </c>
      <c r="H283" s="39">
        <v>100</v>
      </c>
    </row>
    <row r="284" spans="1:8" s="37" customFormat="1" ht="13.5" x14ac:dyDescent="0.25">
      <c r="A284" s="72" t="s">
        <v>200</v>
      </c>
      <c r="B284" s="72"/>
      <c r="C284" s="64"/>
      <c r="D284" s="65">
        <f>SUM(D277:D283)</f>
        <v>685</v>
      </c>
      <c r="F284" s="48"/>
      <c r="G284" s="70" t="s">
        <v>200</v>
      </c>
      <c r="H284" s="65">
        <f>SUM(H277:H283)</f>
        <v>625</v>
      </c>
    </row>
    <row r="285" spans="1:8" s="37" customFormat="1" ht="13.5" customHeight="1" x14ac:dyDescent="0.25">
      <c r="A285" s="181"/>
      <c r="B285" s="181"/>
      <c r="C285" s="181"/>
      <c r="D285" s="182"/>
      <c r="F285" s="48"/>
      <c r="G285" s="66" t="s">
        <v>201</v>
      </c>
      <c r="H285" s="262"/>
    </row>
    <row r="286" spans="1:8" s="37" customFormat="1" ht="13.5" x14ac:dyDescent="0.25">
      <c r="A286" s="181"/>
      <c r="B286" s="181"/>
      <c r="C286" s="181"/>
      <c r="D286" s="182"/>
      <c r="F286" s="241" t="s">
        <v>264</v>
      </c>
      <c r="G286" s="41" t="s">
        <v>265</v>
      </c>
      <c r="H286" s="247">
        <v>125</v>
      </c>
    </row>
    <row r="287" spans="1:8" s="37" customFormat="1" ht="13.5" x14ac:dyDescent="0.25">
      <c r="A287" s="181"/>
      <c r="B287" s="181"/>
      <c r="C287" s="181"/>
      <c r="D287" s="182"/>
      <c r="F287" s="42">
        <v>386</v>
      </c>
      <c r="G287" s="41" t="s">
        <v>203</v>
      </c>
      <c r="H287" s="247">
        <v>125</v>
      </c>
    </row>
    <row r="288" spans="1:8" s="37" customFormat="1" ht="13.5" x14ac:dyDescent="0.2">
      <c r="A288" s="181"/>
      <c r="B288" s="181"/>
      <c r="C288" s="181"/>
      <c r="D288" s="182"/>
      <c r="F288" s="48"/>
      <c r="G288" s="67"/>
      <c r="H288" s="250"/>
    </row>
    <row r="289" spans="1:8" s="37" customFormat="1" ht="13.5" x14ac:dyDescent="0.25">
      <c r="A289" s="181"/>
      <c r="B289" s="181"/>
      <c r="C289" s="181"/>
      <c r="D289" s="182"/>
      <c r="F289" s="48"/>
      <c r="G289" s="70" t="s">
        <v>206</v>
      </c>
      <c r="H289" s="65">
        <f>SUM(H286:H288)</f>
        <v>250</v>
      </c>
    </row>
    <row r="290" spans="1:8" s="40" customFormat="1" x14ac:dyDescent="0.25">
      <c r="B290" s="83"/>
      <c r="C290" s="83" t="s">
        <v>22</v>
      </c>
      <c r="D290" s="245"/>
      <c r="G290" s="83" t="s">
        <v>22</v>
      </c>
    </row>
    <row r="291" spans="1:8" s="40" customFormat="1" ht="25.5" customHeight="1" x14ac:dyDescent="0.2">
      <c r="A291" s="183">
        <v>82</v>
      </c>
      <c r="B291" s="183"/>
      <c r="C291" s="39" t="s">
        <v>187</v>
      </c>
      <c r="D291" s="193">
        <v>250</v>
      </c>
      <c r="F291" s="230">
        <v>128</v>
      </c>
      <c r="G291" s="41" t="s">
        <v>292</v>
      </c>
      <c r="H291" s="247">
        <v>250</v>
      </c>
    </row>
    <row r="292" spans="1:8" s="40" customFormat="1" ht="25.5" customHeight="1" x14ac:dyDescent="0.2">
      <c r="A292" s="183">
        <v>250</v>
      </c>
      <c r="B292" s="183"/>
      <c r="C292" s="39" t="s">
        <v>188</v>
      </c>
      <c r="D292" s="193">
        <v>70</v>
      </c>
      <c r="F292" s="84" t="s">
        <v>266</v>
      </c>
      <c r="G292" s="54" t="s">
        <v>267</v>
      </c>
      <c r="H292" s="250">
        <v>90</v>
      </c>
    </row>
    <row r="293" spans="1:8" s="40" customFormat="1" ht="19.5" customHeight="1" x14ac:dyDescent="0.2">
      <c r="A293" s="208"/>
      <c r="B293" s="208"/>
      <c r="C293" s="209" t="s">
        <v>184</v>
      </c>
      <c r="D293" s="269">
        <v>50</v>
      </c>
      <c r="F293" s="224"/>
      <c r="G293" s="69" t="s">
        <v>274</v>
      </c>
      <c r="H293" s="253">
        <v>150</v>
      </c>
    </row>
    <row r="294" spans="1:8" s="40" customFormat="1" x14ac:dyDescent="0.2">
      <c r="A294" s="200">
        <v>205</v>
      </c>
      <c r="B294" s="200"/>
      <c r="C294" s="192" t="s">
        <v>268</v>
      </c>
      <c r="D294" s="257">
        <v>130</v>
      </c>
      <c r="F294" s="84"/>
      <c r="G294" s="39" t="s">
        <v>269</v>
      </c>
      <c r="H294" s="250">
        <v>180</v>
      </c>
    </row>
    <row r="295" spans="1:8" s="40" customFormat="1" x14ac:dyDescent="0.2">
      <c r="A295" s="199"/>
      <c r="B295" s="199"/>
      <c r="C295" s="39" t="s">
        <v>190</v>
      </c>
      <c r="D295" s="193">
        <v>35</v>
      </c>
      <c r="F295" s="74"/>
      <c r="G295" s="54" t="s">
        <v>93</v>
      </c>
      <c r="H295" s="55">
        <v>70</v>
      </c>
    </row>
    <row r="296" spans="1:8" s="40" customFormat="1" ht="25.5" x14ac:dyDescent="0.2">
      <c r="A296" s="200"/>
      <c r="B296" s="200"/>
      <c r="C296" s="39" t="s">
        <v>93</v>
      </c>
      <c r="D296" s="257">
        <v>60</v>
      </c>
      <c r="F296" s="82"/>
      <c r="G296" s="39" t="s">
        <v>190</v>
      </c>
      <c r="H296" s="193">
        <v>35</v>
      </c>
    </row>
    <row r="297" spans="1:8" s="40" customFormat="1" x14ac:dyDescent="0.2">
      <c r="A297" s="199"/>
      <c r="B297" s="199"/>
      <c r="C297" s="39" t="s">
        <v>191</v>
      </c>
      <c r="D297" s="193">
        <v>20</v>
      </c>
      <c r="F297" s="45"/>
      <c r="G297" s="45"/>
      <c r="H297" s="45"/>
    </row>
    <row r="298" spans="1:8" s="49" customFormat="1" ht="13.5" x14ac:dyDescent="0.25">
      <c r="A298" s="183"/>
      <c r="B298" s="183"/>
      <c r="C298" s="39" t="s">
        <v>108</v>
      </c>
      <c r="D298" s="193">
        <v>200</v>
      </c>
      <c r="F298" s="42"/>
      <c r="G298" s="54"/>
      <c r="H298" s="55"/>
    </row>
    <row r="299" spans="1:8" s="37" customFormat="1" ht="13.5" customHeight="1" x14ac:dyDescent="0.25">
      <c r="A299" s="335" t="s">
        <v>23</v>
      </c>
      <c r="B299" s="336"/>
      <c r="C299" s="337"/>
      <c r="D299" s="63">
        <f>SUM(D291:D298)</f>
        <v>815</v>
      </c>
      <c r="F299" s="48"/>
      <c r="G299" s="76" t="s">
        <v>95</v>
      </c>
      <c r="H299" s="65">
        <f>SUM(H291:H298)</f>
        <v>775</v>
      </c>
    </row>
    <row r="300" spans="1:8" s="40" customFormat="1" ht="12.75" customHeight="1" x14ac:dyDescent="0.25">
      <c r="B300" s="83"/>
      <c r="C300" s="83"/>
      <c r="D300" s="245"/>
      <c r="G300" s="83" t="s">
        <v>24</v>
      </c>
    </row>
    <row r="301" spans="1:8" s="40" customFormat="1" x14ac:dyDescent="0.25">
      <c r="A301" s="58"/>
      <c r="B301" s="58"/>
      <c r="C301" s="58"/>
      <c r="D301" s="58"/>
      <c r="F301" s="196"/>
      <c r="G301" s="196"/>
      <c r="H301" s="197"/>
    </row>
    <row r="302" spans="1:8" s="40" customFormat="1" x14ac:dyDescent="0.25">
      <c r="A302" s="58"/>
      <c r="B302" s="58"/>
      <c r="C302" s="58"/>
      <c r="D302" s="58"/>
      <c r="F302" s="241" t="s">
        <v>264</v>
      </c>
      <c r="G302" s="41" t="s">
        <v>265</v>
      </c>
      <c r="H302" s="247">
        <v>125</v>
      </c>
    </row>
    <row r="303" spans="1:8" s="49" customFormat="1" ht="13.5" x14ac:dyDescent="0.25">
      <c r="A303" s="58"/>
      <c r="B303" s="58"/>
      <c r="C303" s="58"/>
      <c r="D303" s="58"/>
      <c r="F303" s="42">
        <v>386</v>
      </c>
      <c r="G303" s="41" t="s">
        <v>203</v>
      </c>
      <c r="H303" s="247">
        <v>125</v>
      </c>
    </row>
    <row r="304" spans="1:8" s="59" customFormat="1" ht="13.5" x14ac:dyDescent="0.25">
      <c r="A304" s="80"/>
      <c r="B304" s="80"/>
      <c r="C304" s="79"/>
      <c r="D304" s="260"/>
      <c r="F304" s="213"/>
      <c r="G304" s="67"/>
      <c r="H304" s="250"/>
    </row>
    <row r="305" spans="1:8" ht="13.5" x14ac:dyDescent="0.25">
      <c r="F305" s="236"/>
      <c r="G305" s="70" t="s">
        <v>25</v>
      </c>
      <c r="H305" s="65">
        <f>SUM(H302:H304)</f>
        <v>250</v>
      </c>
    </row>
    <row r="308" spans="1:8" s="87" customFormat="1" x14ac:dyDescent="0.2">
      <c r="A308" s="210"/>
      <c r="B308" s="210"/>
      <c r="C308" s="85"/>
      <c r="D308" s="86"/>
      <c r="F308" s="88"/>
      <c r="G308" s="31"/>
      <c r="H308" s="264"/>
    </row>
    <row r="310" spans="1:8" x14ac:dyDescent="0.2">
      <c r="H310" s="265"/>
    </row>
  </sheetData>
  <mergeCells count="29">
    <mergeCell ref="A4:C4"/>
    <mergeCell ref="A16:C16"/>
    <mergeCell ref="A47:C47"/>
    <mergeCell ref="A3:H3"/>
    <mergeCell ref="F7:F8"/>
    <mergeCell ref="G7:G8"/>
    <mergeCell ref="H7:H8"/>
    <mergeCell ref="F4:G4"/>
    <mergeCell ref="A7:A8"/>
    <mergeCell ref="C7:C8"/>
    <mergeCell ref="D7:D8"/>
    <mergeCell ref="F22:G22"/>
    <mergeCell ref="G18:H18"/>
    <mergeCell ref="G49:H49"/>
    <mergeCell ref="F53:G53"/>
    <mergeCell ref="F47:G47"/>
    <mergeCell ref="F78:G78"/>
    <mergeCell ref="F63:G63"/>
    <mergeCell ref="A63:C63"/>
    <mergeCell ref="A78:C78"/>
    <mergeCell ref="F68:G68"/>
    <mergeCell ref="F114:G114"/>
    <mergeCell ref="G80:H80"/>
    <mergeCell ref="F113:G113"/>
    <mergeCell ref="A122:C122"/>
    <mergeCell ref="A137:C137"/>
    <mergeCell ref="A183:C183"/>
    <mergeCell ref="A269:C269"/>
    <mergeCell ref="A299:C299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7" max="16383" man="1"/>
    <brk id="2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C00000"/>
  </sheetPr>
  <dimension ref="A1:P312"/>
  <sheetViews>
    <sheetView tabSelected="1" view="pageBreakPreview" topLeftCell="A229" zoomScale="75" zoomScaleNormal="100" zoomScaleSheetLayoutView="75" workbookViewId="0">
      <selection activeCell="B241" sqref="B241"/>
    </sheetView>
    <sheetView tabSelected="1" workbookViewId="1">
      <selection activeCell="B241" sqref="B241"/>
    </sheetView>
  </sheetViews>
  <sheetFormatPr defaultColWidth="9.140625" defaultRowHeight="15.75" x14ac:dyDescent="0.25"/>
  <cols>
    <col min="1" max="1" width="10.5703125" style="272" bestFit="1" customWidth="1"/>
    <col min="2" max="2" width="32.28515625" style="281" customWidth="1"/>
    <col min="3" max="3" width="9.85546875" style="272" customWidth="1"/>
    <col min="4" max="5" width="7.7109375" style="272" bestFit="1" customWidth="1"/>
    <col min="6" max="6" width="8.7109375" style="272" bestFit="1" customWidth="1"/>
    <col min="7" max="7" width="12" style="272" customWidth="1"/>
    <col min="8" max="8" width="6.5703125" style="272" bestFit="1" customWidth="1"/>
    <col min="9" max="9" width="7.7109375" style="272" bestFit="1" customWidth="1"/>
    <col min="10" max="10" width="9.42578125" style="272" bestFit="1" customWidth="1"/>
    <col min="11" max="11" width="6.7109375" style="272" bestFit="1" customWidth="1"/>
    <col min="12" max="13" width="9.7109375" style="272" bestFit="1" customWidth="1"/>
    <col min="14" max="14" width="8.7109375" style="272" bestFit="1" customWidth="1"/>
    <col min="15" max="15" width="7.7109375" style="272" bestFit="1" customWidth="1"/>
    <col min="16" max="16384" width="9.140625" style="272"/>
  </cols>
  <sheetData>
    <row r="1" spans="1:16" ht="35.25" customHeight="1" x14ac:dyDescent="0.25">
      <c r="A1" s="365" t="s">
        <v>385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00"/>
    </row>
    <row r="2" spans="1:16" x14ac:dyDescent="0.25">
      <c r="A2" s="301" t="s">
        <v>46</v>
      </c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x14ac:dyDescent="0.25">
      <c r="A3" s="301" t="s">
        <v>47</v>
      </c>
      <c r="B3" s="30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6" x14ac:dyDescent="0.25">
      <c r="A4" s="365" t="s">
        <v>0</v>
      </c>
      <c r="B4" s="365" t="s">
        <v>1</v>
      </c>
      <c r="C4" s="365" t="s">
        <v>2</v>
      </c>
      <c r="D4" s="365" t="s">
        <v>3</v>
      </c>
      <c r="E4" s="365"/>
      <c r="F4" s="365"/>
      <c r="G4" s="365" t="s">
        <v>4</v>
      </c>
      <c r="H4" s="365" t="s">
        <v>5</v>
      </c>
      <c r="I4" s="365"/>
      <c r="J4" s="365"/>
      <c r="K4" s="365"/>
      <c r="L4" s="365" t="s">
        <v>6</v>
      </c>
      <c r="M4" s="365"/>
      <c r="N4" s="365"/>
      <c r="O4" s="365"/>
    </row>
    <row r="5" spans="1:16" ht="30" customHeight="1" x14ac:dyDescent="0.25">
      <c r="A5" s="365"/>
      <c r="B5" s="365"/>
      <c r="C5" s="365"/>
      <c r="D5" s="273" t="s">
        <v>7</v>
      </c>
      <c r="E5" s="273" t="s">
        <v>8</v>
      </c>
      <c r="F5" s="273" t="s">
        <v>9</v>
      </c>
      <c r="G5" s="365"/>
      <c r="H5" s="273" t="s">
        <v>10</v>
      </c>
      <c r="I5" s="273" t="s">
        <v>11</v>
      </c>
      <c r="J5" s="273" t="s">
        <v>12</v>
      </c>
      <c r="K5" s="273" t="s">
        <v>13</v>
      </c>
      <c r="L5" s="273" t="s">
        <v>14</v>
      </c>
      <c r="M5" s="273" t="s">
        <v>15</v>
      </c>
      <c r="N5" s="273" t="s">
        <v>16</v>
      </c>
      <c r="O5" s="273" t="s">
        <v>17</v>
      </c>
    </row>
    <row r="6" spans="1:16" ht="30" customHeight="1" x14ac:dyDescent="0.25">
      <c r="A6" s="274" t="s">
        <v>384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</row>
    <row r="7" spans="1:16" x14ac:dyDescent="0.25">
      <c r="A7" s="369" t="s">
        <v>18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  <row r="8" spans="1:16" s="277" customFormat="1" ht="31.5" x14ac:dyDescent="0.25">
      <c r="A8" s="274" t="s">
        <v>373</v>
      </c>
      <c r="B8" s="275" t="s">
        <v>197</v>
      </c>
      <c r="C8" s="274">
        <v>200</v>
      </c>
      <c r="D8" s="276">
        <v>7.9690000000000003</v>
      </c>
      <c r="E8" s="276">
        <v>9.3290000000000006</v>
      </c>
      <c r="F8" s="276">
        <v>36.582000000000001</v>
      </c>
      <c r="G8" s="276">
        <v>262.73399999999998</v>
      </c>
      <c r="H8" s="276">
        <v>0.20899999999999999</v>
      </c>
      <c r="I8" s="276">
        <v>0.56999999999999995</v>
      </c>
      <c r="J8" s="276">
        <v>33.5</v>
      </c>
      <c r="K8" s="276">
        <v>0.52200000000000002</v>
      </c>
      <c r="L8" s="276">
        <v>140.96</v>
      </c>
      <c r="M8" s="276">
        <v>225.81</v>
      </c>
      <c r="N8" s="276">
        <v>25.7</v>
      </c>
      <c r="O8" s="276">
        <v>1.6659999999999999</v>
      </c>
    </row>
    <row r="9" spans="1:16" s="277" customFormat="1" ht="31.5" x14ac:dyDescent="0.25">
      <c r="A9" s="274"/>
      <c r="B9" s="275" t="s">
        <v>363</v>
      </c>
      <c r="C9" s="274">
        <v>40</v>
      </c>
      <c r="D9" s="276">
        <v>5.26</v>
      </c>
      <c r="E9" s="276">
        <v>7.4790000000000001</v>
      </c>
      <c r="F9" s="276">
        <v>9.7249999999999996</v>
      </c>
      <c r="G9" s="276">
        <v>128.20500000000001</v>
      </c>
      <c r="H9" s="276">
        <v>3.6999999999999998E-2</v>
      </c>
      <c r="I9" s="276">
        <v>0.112</v>
      </c>
      <c r="J9" s="276">
        <v>52.2</v>
      </c>
      <c r="K9" s="276">
        <v>0.38</v>
      </c>
      <c r="L9" s="276">
        <v>145.80000000000001</v>
      </c>
      <c r="M9" s="276">
        <v>108.5</v>
      </c>
      <c r="N9" s="276">
        <v>12.9</v>
      </c>
      <c r="O9" s="276">
        <v>0.55000000000000004</v>
      </c>
    </row>
    <row r="10" spans="1:16" s="277" customFormat="1" x14ac:dyDescent="0.25">
      <c r="A10" s="274" t="s">
        <v>199</v>
      </c>
      <c r="B10" s="275" t="s">
        <v>83</v>
      </c>
      <c r="C10" s="274">
        <v>180</v>
      </c>
      <c r="D10" s="276">
        <v>3.59</v>
      </c>
      <c r="E10" s="276">
        <v>2.85</v>
      </c>
      <c r="F10" s="276">
        <v>14.708</v>
      </c>
      <c r="G10" s="276">
        <v>100.06</v>
      </c>
      <c r="H10" s="276">
        <v>2.1999999999999999E-2</v>
      </c>
      <c r="I10" s="276">
        <v>0.54</v>
      </c>
      <c r="J10" s="276">
        <v>9.1199999999999992</v>
      </c>
      <c r="K10" s="276">
        <v>1.2E-2</v>
      </c>
      <c r="L10" s="276">
        <v>113.12</v>
      </c>
      <c r="M10" s="276">
        <v>107.2</v>
      </c>
      <c r="N10" s="276">
        <v>29.6</v>
      </c>
      <c r="O10" s="276">
        <v>1</v>
      </c>
    </row>
    <row r="11" spans="1:16" s="277" customFormat="1" x14ac:dyDescent="0.25">
      <c r="A11" s="274">
        <v>0</v>
      </c>
      <c r="B11" s="275" t="s">
        <v>198</v>
      </c>
      <c r="C11" s="274">
        <v>120</v>
      </c>
      <c r="D11" s="276">
        <v>1.8</v>
      </c>
      <c r="E11" s="276">
        <v>0.6</v>
      </c>
      <c r="F11" s="276">
        <v>25.2</v>
      </c>
      <c r="G11" s="276">
        <v>115.2</v>
      </c>
      <c r="H11" s="276">
        <v>4.8000000000000001E-2</v>
      </c>
      <c r="I11" s="276">
        <v>12</v>
      </c>
      <c r="J11" s="276"/>
      <c r="K11" s="276">
        <v>0.48</v>
      </c>
      <c r="L11" s="276">
        <v>9.6</v>
      </c>
      <c r="M11" s="276">
        <v>33.6</v>
      </c>
      <c r="N11" s="276">
        <v>50.4</v>
      </c>
      <c r="O11" s="276">
        <v>0.72</v>
      </c>
    </row>
    <row r="12" spans="1:16" s="277" customFormat="1" x14ac:dyDescent="0.25">
      <c r="A12" s="274">
        <v>0</v>
      </c>
      <c r="B12" s="275" t="s">
        <v>84</v>
      </c>
      <c r="C12" s="274">
        <v>20</v>
      </c>
      <c r="D12" s="276">
        <v>1.58</v>
      </c>
      <c r="E12" s="276">
        <v>0.2</v>
      </c>
      <c r="F12" s="276">
        <v>9.66</v>
      </c>
      <c r="G12" s="276">
        <v>47</v>
      </c>
      <c r="H12" s="276">
        <v>3.2000000000000001E-2</v>
      </c>
      <c r="I12" s="276"/>
      <c r="J12" s="276"/>
      <c r="K12" s="276">
        <v>0.26</v>
      </c>
      <c r="L12" s="276">
        <v>4.5999999999999996</v>
      </c>
      <c r="M12" s="276">
        <v>17.399999999999999</v>
      </c>
      <c r="N12" s="276">
        <v>6.6</v>
      </c>
      <c r="O12" s="276">
        <v>0.4</v>
      </c>
    </row>
    <row r="13" spans="1:16" s="277" customFormat="1" x14ac:dyDescent="0.25">
      <c r="A13" s="274" t="s">
        <v>19</v>
      </c>
      <c r="B13" s="275"/>
      <c r="C13" s="274">
        <v>560</v>
      </c>
      <c r="D13" s="276">
        <v>20.199000000000002</v>
      </c>
      <c r="E13" s="276">
        <v>20.457999999999998</v>
      </c>
      <c r="F13" s="276">
        <v>95.875</v>
      </c>
      <c r="G13" s="276">
        <v>653.19899999999996</v>
      </c>
      <c r="H13" s="276">
        <v>0.34699999999999998</v>
      </c>
      <c r="I13" s="276">
        <v>13.222</v>
      </c>
      <c r="J13" s="276">
        <v>94.82</v>
      </c>
      <c r="K13" s="276">
        <v>1.6539999999999999</v>
      </c>
      <c r="L13" s="276">
        <v>414.08</v>
      </c>
      <c r="M13" s="276">
        <v>492.51</v>
      </c>
      <c r="N13" s="276">
        <v>125.2</v>
      </c>
      <c r="O13" s="276">
        <v>4.3360000000000003</v>
      </c>
    </row>
    <row r="14" spans="1:16" s="277" customFormat="1" x14ac:dyDescent="0.25">
      <c r="A14" s="274" t="s">
        <v>20</v>
      </c>
      <c r="B14" s="275"/>
      <c r="C14" s="274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</row>
    <row r="15" spans="1:16" s="277" customFormat="1" x14ac:dyDescent="0.25">
      <c r="A15" s="274" t="s">
        <v>297</v>
      </c>
      <c r="B15" s="275" t="s">
        <v>202</v>
      </c>
      <c r="C15" s="274">
        <v>125</v>
      </c>
      <c r="D15" s="276">
        <v>19.122</v>
      </c>
      <c r="E15" s="276">
        <v>12.287000000000001</v>
      </c>
      <c r="F15" s="276">
        <v>18.23</v>
      </c>
      <c r="G15" s="276">
        <v>263.59199999999998</v>
      </c>
      <c r="H15" s="276">
        <v>0.121</v>
      </c>
      <c r="I15" s="276">
        <v>0.58799999999999997</v>
      </c>
      <c r="J15" s="276">
        <v>90.75</v>
      </c>
      <c r="K15" s="276">
        <v>0.24299999999999999</v>
      </c>
      <c r="L15" s="276">
        <v>184.37</v>
      </c>
      <c r="M15" s="276">
        <v>248.881</v>
      </c>
      <c r="N15" s="276">
        <v>26.707999999999998</v>
      </c>
      <c r="O15" s="276">
        <v>0.84899999999999998</v>
      </c>
    </row>
    <row r="16" spans="1:16" s="277" customFormat="1" x14ac:dyDescent="0.25">
      <c r="A16" s="274" t="s">
        <v>204</v>
      </c>
      <c r="B16" s="275" t="s">
        <v>219</v>
      </c>
      <c r="C16" s="274">
        <v>125</v>
      </c>
      <c r="D16" s="276">
        <v>3.375</v>
      </c>
      <c r="E16" s="276">
        <v>3.125</v>
      </c>
      <c r="F16" s="276">
        <v>13.5</v>
      </c>
      <c r="G16" s="276">
        <v>98.75</v>
      </c>
      <c r="H16" s="276">
        <v>3.7999999999999999E-2</v>
      </c>
      <c r="I16" s="276">
        <v>1.125</v>
      </c>
      <c r="J16" s="276">
        <v>25</v>
      </c>
      <c r="K16" s="276"/>
      <c r="L16" s="276">
        <v>151.25</v>
      </c>
      <c r="M16" s="276">
        <v>117.5</v>
      </c>
      <c r="N16" s="276">
        <v>18.75</v>
      </c>
      <c r="O16" s="276">
        <v>0.125</v>
      </c>
    </row>
    <row r="17" spans="1:15" s="277" customFormat="1" x14ac:dyDescent="0.25">
      <c r="A17" s="274" t="s">
        <v>21</v>
      </c>
      <c r="B17" s="275"/>
      <c r="C17" s="274">
        <v>250</v>
      </c>
      <c r="D17" s="276">
        <v>22.497</v>
      </c>
      <c r="E17" s="276">
        <v>15.412000000000001</v>
      </c>
      <c r="F17" s="276">
        <v>31.73</v>
      </c>
      <c r="G17" s="276">
        <v>362.34199999999998</v>
      </c>
      <c r="H17" s="276">
        <v>0.159</v>
      </c>
      <c r="I17" s="276">
        <v>1.7130000000000001</v>
      </c>
      <c r="J17" s="276">
        <v>115.75</v>
      </c>
      <c r="K17" s="276">
        <v>0.24299999999999999</v>
      </c>
      <c r="L17" s="276">
        <v>335.62</v>
      </c>
      <c r="M17" s="276">
        <v>366.38099999999997</v>
      </c>
      <c r="N17" s="276">
        <v>45.457999999999998</v>
      </c>
      <c r="O17" s="276">
        <v>0.97399999999999998</v>
      </c>
    </row>
    <row r="18" spans="1:15" s="277" customFormat="1" x14ac:dyDescent="0.25">
      <c r="A18" s="274" t="s">
        <v>22</v>
      </c>
      <c r="B18" s="275"/>
      <c r="C18" s="274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</row>
    <row r="19" spans="1:15" s="277" customFormat="1" x14ac:dyDescent="0.25">
      <c r="A19" s="274" t="s">
        <v>298</v>
      </c>
      <c r="B19" s="275" t="s">
        <v>299</v>
      </c>
      <c r="C19" s="274">
        <v>250</v>
      </c>
      <c r="D19" s="276">
        <v>2.7949999999999999</v>
      </c>
      <c r="E19" s="276">
        <v>5.8330000000000002</v>
      </c>
      <c r="F19" s="276">
        <v>13.926</v>
      </c>
      <c r="G19" s="276">
        <v>119.363</v>
      </c>
      <c r="H19" s="276">
        <v>0.158</v>
      </c>
      <c r="I19" s="276">
        <v>1</v>
      </c>
      <c r="J19" s="276">
        <v>12.5</v>
      </c>
      <c r="K19" s="276">
        <v>2.5310000000000001</v>
      </c>
      <c r="L19" s="276">
        <v>11.055999999999999</v>
      </c>
      <c r="M19" s="276">
        <v>31.957000000000001</v>
      </c>
      <c r="N19" s="276">
        <v>5.1020000000000003</v>
      </c>
      <c r="O19" s="276">
        <v>0.44400000000000001</v>
      </c>
    </row>
    <row r="20" spans="1:15" s="277" customFormat="1" ht="31.5" x14ac:dyDescent="0.25">
      <c r="A20" s="274" t="s">
        <v>300</v>
      </c>
      <c r="B20" s="275" t="s">
        <v>301</v>
      </c>
      <c r="C20" s="274">
        <v>90</v>
      </c>
      <c r="D20" s="276">
        <v>15.084</v>
      </c>
      <c r="E20" s="276">
        <v>10.753</v>
      </c>
      <c r="F20" s="276">
        <v>8.7530000000000001</v>
      </c>
      <c r="G20" s="276">
        <v>192.32499999999999</v>
      </c>
      <c r="H20" s="276">
        <v>7.0000000000000007E-2</v>
      </c>
      <c r="I20" s="276">
        <v>0.12</v>
      </c>
      <c r="J20" s="276">
        <v>22</v>
      </c>
      <c r="K20" s="276">
        <v>0.52200000000000002</v>
      </c>
      <c r="L20" s="276">
        <v>34.82</v>
      </c>
      <c r="M20" s="276">
        <v>157.5</v>
      </c>
      <c r="N20" s="276">
        <v>22.6</v>
      </c>
      <c r="O20" s="276">
        <v>2.1320000000000001</v>
      </c>
    </row>
    <row r="21" spans="1:15" s="277" customFormat="1" x14ac:dyDescent="0.25">
      <c r="A21" s="274"/>
      <c r="B21" s="275" t="s">
        <v>359</v>
      </c>
      <c r="C21" s="274">
        <v>155</v>
      </c>
      <c r="D21" s="276">
        <v>4.7649999999999997</v>
      </c>
      <c r="E21" s="276">
        <v>4.8630000000000004</v>
      </c>
      <c r="F21" s="276">
        <v>21.478000000000002</v>
      </c>
      <c r="G21" s="276">
        <v>148.54499999999999</v>
      </c>
      <c r="H21" s="276">
        <v>0.16200000000000001</v>
      </c>
      <c r="I21" s="276"/>
      <c r="J21" s="276">
        <v>20</v>
      </c>
      <c r="K21" s="276">
        <v>0.35</v>
      </c>
      <c r="L21" s="276">
        <v>9.8219999999999992</v>
      </c>
      <c r="M21" s="276">
        <v>113.479</v>
      </c>
      <c r="N21" s="276">
        <v>75.066999999999993</v>
      </c>
      <c r="O21" s="276">
        <v>2.5310000000000001</v>
      </c>
    </row>
    <row r="22" spans="1:15" s="277" customFormat="1" ht="31.5" x14ac:dyDescent="0.25">
      <c r="A22" s="274" t="s">
        <v>213</v>
      </c>
      <c r="B22" s="275" t="s">
        <v>302</v>
      </c>
      <c r="C22" s="274">
        <v>180</v>
      </c>
      <c r="D22" s="276">
        <v>0.70199999999999996</v>
      </c>
      <c r="E22" s="276">
        <v>5.3999999999999999E-2</v>
      </c>
      <c r="F22" s="276">
        <v>17.11</v>
      </c>
      <c r="G22" s="276">
        <v>72.78</v>
      </c>
      <c r="H22" s="276">
        <v>1.7999999999999999E-2</v>
      </c>
      <c r="I22" s="276">
        <v>0.72</v>
      </c>
      <c r="J22" s="276"/>
      <c r="K22" s="276">
        <v>0.99</v>
      </c>
      <c r="L22" s="276">
        <v>28.8</v>
      </c>
      <c r="M22" s="276">
        <v>26.28</v>
      </c>
      <c r="N22" s="276">
        <v>18.899999999999999</v>
      </c>
      <c r="O22" s="276">
        <v>0.6</v>
      </c>
    </row>
    <row r="23" spans="1:15" s="277" customFormat="1" x14ac:dyDescent="0.25">
      <c r="A23" s="274">
        <v>0</v>
      </c>
      <c r="B23" s="275" t="s">
        <v>360</v>
      </c>
      <c r="C23" s="274">
        <v>150</v>
      </c>
      <c r="D23" s="276">
        <v>0.6</v>
      </c>
      <c r="E23" s="276">
        <v>0.45</v>
      </c>
      <c r="F23" s="276">
        <v>15.45</v>
      </c>
      <c r="G23" s="276">
        <v>70.5</v>
      </c>
      <c r="H23" s="276">
        <v>0.03</v>
      </c>
      <c r="I23" s="276">
        <v>7.5</v>
      </c>
      <c r="J23" s="276"/>
      <c r="K23" s="276">
        <v>0.6</v>
      </c>
      <c r="L23" s="276">
        <v>28.5</v>
      </c>
      <c r="M23" s="276">
        <v>24</v>
      </c>
      <c r="N23" s="276">
        <v>18</v>
      </c>
      <c r="O23" s="276">
        <v>3.45</v>
      </c>
    </row>
    <row r="24" spans="1:15" s="277" customFormat="1" x14ac:dyDescent="0.25">
      <c r="A24" s="274">
        <v>0</v>
      </c>
      <c r="B24" s="275" t="s">
        <v>84</v>
      </c>
      <c r="C24" s="274">
        <v>70</v>
      </c>
      <c r="D24" s="276">
        <v>5.53</v>
      </c>
      <c r="E24" s="276">
        <v>0.7</v>
      </c>
      <c r="F24" s="276">
        <v>33.81</v>
      </c>
      <c r="G24" s="276">
        <v>164.5</v>
      </c>
      <c r="H24" s="276">
        <v>0.112</v>
      </c>
      <c r="I24" s="276"/>
      <c r="J24" s="276"/>
      <c r="K24" s="276">
        <v>0.91</v>
      </c>
      <c r="L24" s="276">
        <v>16.100000000000001</v>
      </c>
      <c r="M24" s="276">
        <v>60.9</v>
      </c>
      <c r="N24" s="276">
        <v>23.1</v>
      </c>
      <c r="O24" s="276">
        <v>1.4</v>
      </c>
    </row>
    <row r="25" spans="1:15" s="277" customFormat="1" x14ac:dyDescent="0.25">
      <c r="A25" s="274" t="s">
        <v>23</v>
      </c>
      <c r="B25" s="275"/>
      <c r="C25" s="274">
        <v>895</v>
      </c>
      <c r="D25" s="276">
        <v>29.475999999999999</v>
      </c>
      <c r="E25" s="276">
        <v>22.652999999999999</v>
      </c>
      <c r="F25" s="276">
        <v>110.527</v>
      </c>
      <c r="G25" s="276">
        <v>768.01300000000003</v>
      </c>
      <c r="H25" s="276">
        <v>0.55000000000000004</v>
      </c>
      <c r="I25" s="276">
        <v>9.34</v>
      </c>
      <c r="J25" s="276">
        <v>54.5</v>
      </c>
      <c r="K25" s="276">
        <v>5.9029999999999996</v>
      </c>
      <c r="L25" s="276">
        <v>129.09800000000001</v>
      </c>
      <c r="M25" s="276">
        <v>414.11599999999999</v>
      </c>
      <c r="N25" s="276">
        <v>162.76900000000001</v>
      </c>
      <c r="O25" s="276">
        <v>10.557</v>
      </c>
    </row>
    <row r="26" spans="1:15" s="277" customFormat="1" x14ac:dyDescent="0.25">
      <c r="A26" s="274" t="s">
        <v>24</v>
      </c>
      <c r="B26" s="275"/>
      <c r="C26" s="274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</row>
    <row r="27" spans="1:15" s="277" customFormat="1" x14ac:dyDescent="0.25">
      <c r="A27" s="274" t="s">
        <v>297</v>
      </c>
      <c r="B27" s="275" t="s">
        <v>202</v>
      </c>
      <c r="C27" s="274">
        <v>125</v>
      </c>
      <c r="D27" s="276">
        <v>19.122</v>
      </c>
      <c r="E27" s="276">
        <v>12.287000000000001</v>
      </c>
      <c r="F27" s="276">
        <v>18.23</v>
      </c>
      <c r="G27" s="276">
        <v>263.59199999999998</v>
      </c>
      <c r="H27" s="276">
        <v>0.121</v>
      </c>
      <c r="I27" s="276">
        <v>0.58799999999999997</v>
      </c>
      <c r="J27" s="276">
        <v>90.75</v>
      </c>
      <c r="K27" s="276">
        <v>0.24299999999999999</v>
      </c>
      <c r="L27" s="276">
        <v>184.37</v>
      </c>
      <c r="M27" s="276">
        <v>248.881</v>
      </c>
      <c r="N27" s="276">
        <v>26.707999999999998</v>
      </c>
      <c r="O27" s="276">
        <v>0.84899999999999998</v>
      </c>
    </row>
    <row r="28" spans="1:15" s="277" customFormat="1" x14ac:dyDescent="0.25">
      <c r="A28" s="274" t="s">
        <v>204</v>
      </c>
      <c r="B28" s="275" t="s">
        <v>219</v>
      </c>
      <c r="C28" s="274">
        <v>125</v>
      </c>
      <c r="D28" s="276">
        <v>3.375</v>
      </c>
      <c r="E28" s="276">
        <v>3.125</v>
      </c>
      <c r="F28" s="276">
        <v>13.5</v>
      </c>
      <c r="G28" s="276">
        <v>98.75</v>
      </c>
      <c r="H28" s="276">
        <v>3.7999999999999999E-2</v>
      </c>
      <c r="I28" s="276">
        <v>1.125</v>
      </c>
      <c r="J28" s="276">
        <v>25</v>
      </c>
      <c r="K28" s="276"/>
      <c r="L28" s="276">
        <v>151.25</v>
      </c>
      <c r="M28" s="276">
        <v>117.5</v>
      </c>
      <c r="N28" s="276">
        <v>18.75</v>
      </c>
      <c r="O28" s="276">
        <v>0.125</v>
      </c>
    </row>
    <row r="29" spans="1:15" s="277" customFormat="1" x14ac:dyDescent="0.25">
      <c r="A29" s="274" t="s">
        <v>25</v>
      </c>
      <c r="B29" s="275"/>
      <c r="C29" s="274">
        <v>250</v>
      </c>
      <c r="D29" s="276">
        <v>22.497</v>
      </c>
      <c r="E29" s="276">
        <v>15.412000000000001</v>
      </c>
      <c r="F29" s="276">
        <v>31.73</v>
      </c>
      <c r="G29" s="276">
        <v>362.34199999999998</v>
      </c>
      <c r="H29" s="276">
        <v>0.159</v>
      </c>
      <c r="I29" s="276">
        <v>1.7130000000000001</v>
      </c>
      <c r="J29" s="276">
        <v>115.75</v>
      </c>
      <c r="K29" s="276">
        <v>0.24299999999999999</v>
      </c>
      <c r="L29" s="276">
        <v>335.62</v>
      </c>
      <c r="M29" s="276">
        <v>366.38099999999997</v>
      </c>
      <c r="N29" s="276">
        <v>45.457999999999998</v>
      </c>
      <c r="O29" s="276">
        <v>0.97399999999999998</v>
      </c>
    </row>
    <row r="30" spans="1:15" s="277" customFormat="1" x14ac:dyDescent="0.25">
      <c r="A30" s="274" t="s">
        <v>26</v>
      </c>
      <c r="B30" s="275"/>
      <c r="C30" s="274">
        <v>1955</v>
      </c>
      <c r="D30" s="276">
        <v>94.668999999999997</v>
      </c>
      <c r="E30" s="276">
        <v>73.935000000000002</v>
      </c>
      <c r="F30" s="276">
        <v>269.86200000000002</v>
      </c>
      <c r="G30" s="276">
        <v>2145.8960000000002</v>
      </c>
      <c r="H30" s="276">
        <v>1.2150000000000001</v>
      </c>
      <c r="I30" s="276">
        <v>25.986999999999998</v>
      </c>
      <c r="J30" s="276">
        <v>380.82</v>
      </c>
      <c r="K30" s="276">
        <v>8.0429999999999993</v>
      </c>
      <c r="L30" s="276">
        <v>1214.4179999999999</v>
      </c>
      <c r="M30" s="276">
        <v>1639.3879999999999</v>
      </c>
      <c r="N30" s="276">
        <v>378.88400000000001</v>
      </c>
      <c r="O30" s="276">
        <v>16.841000000000001</v>
      </c>
    </row>
    <row r="31" spans="1:15" s="277" customFormat="1" x14ac:dyDescent="0.25">
      <c r="A31" s="274" t="s">
        <v>27</v>
      </c>
      <c r="B31" s="275"/>
      <c r="C31" s="274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</row>
    <row r="32" spans="1:15" s="277" customFormat="1" ht="31.5" x14ac:dyDescent="0.25">
      <c r="A32" s="274" t="s">
        <v>0</v>
      </c>
      <c r="B32" s="275" t="s">
        <v>1</v>
      </c>
      <c r="C32" s="274" t="s">
        <v>2</v>
      </c>
      <c r="D32" s="276" t="s">
        <v>3</v>
      </c>
      <c r="E32" s="276"/>
      <c r="F32" s="276"/>
      <c r="G32" s="276" t="s">
        <v>4</v>
      </c>
      <c r="H32" s="276" t="s">
        <v>5</v>
      </c>
      <c r="I32" s="276"/>
      <c r="J32" s="276"/>
      <c r="K32" s="276"/>
      <c r="L32" s="276" t="s">
        <v>6</v>
      </c>
      <c r="M32" s="276"/>
      <c r="N32" s="276"/>
      <c r="O32" s="276"/>
    </row>
    <row r="33" spans="1:15" s="277" customFormat="1" x14ac:dyDescent="0.25">
      <c r="A33" s="274"/>
      <c r="B33" s="275"/>
      <c r="C33" s="274"/>
      <c r="D33" s="276" t="s">
        <v>7</v>
      </c>
      <c r="E33" s="276" t="s">
        <v>8</v>
      </c>
      <c r="F33" s="276" t="s">
        <v>9</v>
      </c>
      <c r="G33" s="276"/>
      <c r="H33" s="276" t="s">
        <v>10</v>
      </c>
      <c r="I33" s="276" t="s">
        <v>11</v>
      </c>
      <c r="J33" s="276" t="s">
        <v>12</v>
      </c>
      <c r="K33" s="276" t="s">
        <v>13</v>
      </c>
      <c r="L33" s="276" t="s">
        <v>14</v>
      </c>
      <c r="M33" s="276" t="s">
        <v>15</v>
      </c>
      <c r="N33" s="276" t="s">
        <v>16</v>
      </c>
      <c r="O33" s="276" t="s">
        <v>17</v>
      </c>
    </row>
    <row r="34" spans="1:15" s="277" customFormat="1" x14ac:dyDescent="0.25">
      <c r="A34" s="274" t="s">
        <v>18</v>
      </c>
      <c r="B34" s="275"/>
      <c r="C34" s="274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</row>
    <row r="35" spans="1:15" s="277" customFormat="1" ht="31.5" x14ac:dyDescent="0.25">
      <c r="A35" s="278"/>
      <c r="B35" s="279" t="s">
        <v>303</v>
      </c>
      <c r="C35" s="278">
        <v>60</v>
      </c>
      <c r="D35" s="280">
        <v>0.42</v>
      </c>
      <c r="E35" s="280">
        <v>0.06</v>
      </c>
      <c r="F35" s="280">
        <v>1.1399999999999999</v>
      </c>
      <c r="G35" s="280">
        <v>6.6</v>
      </c>
      <c r="H35" s="280">
        <v>1.7999999999999999E-2</v>
      </c>
      <c r="I35" s="280">
        <v>4.2</v>
      </c>
      <c r="J35" s="280"/>
      <c r="K35" s="280">
        <v>0.06</v>
      </c>
      <c r="L35" s="280">
        <v>10.199999999999999</v>
      </c>
      <c r="M35" s="280">
        <v>18</v>
      </c>
      <c r="N35" s="280">
        <v>8.4</v>
      </c>
      <c r="O35" s="280">
        <v>0.3</v>
      </c>
    </row>
    <row r="36" spans="1:15" s="277" customFormat="1" ht="31.5" x14ac:dyDescent="0.25">
      <c r="A36" s="278" t="s">
        <v>382</v>
      </c>
      <c r="B36" s="279" t="s">
        <v>304</v>
      </c>
      <c r="C36" s="278">
        <v>230</v>
      </c>
      <c r="D36" s="280">
        <v>23.986000000000001</v>
      </c>
      <c r="E36" s="280">
        <v>15.737</v>
      </c>
      <c r="F36" s="280">
        <v>23.939</v>
      </c>
      <c r="G36" s="280">
        <v>334.03500000000003</v>
      </c>
      <c r="H36" s="280">
        <v>0.23799999999999999</v>
      </c>
      <c r="I36" s="280">
        <v>31.1</v>
      </c>
      <c r="J36" s="280"/>
      <c r="K36" s="280">
        <v>2.8530000000000002</v>
      </c>
      <c r="L36" s="280">
        <v>32.921999999999997</v>
      </c>
      <c r="M36" s="280">
        <v>285.565</v>
      </c>
      <c r="N36" s="280">
        <v>59.119</v>
      </c>
      <c r="O36" s="280">
        <v>4.3129999999999997</v>
      </c>
    </row>
    <row r="37" spans="1:15" s="277" customFormat="1" ht="31.5" x14ac:dyDescent="0.25">
      <c r="A37" s="274"/>
      <c r="B37" s="275" t="s">
        <v>295</v>
      </c>
      <c r="C37" s="274">
        <v>200</v>
      </c>
      <c r="D37" s="276">
        <v>0.16</v>
      </c>
      <c r="E37" s="276">
        <v>0.16</v>
      </c>
      <c r="F37" s="276">
        <v>13.9</v>
      </c>
      <c r="G37" s="276">
        <v>58.701000000000001</v>
      </c>
      <c r="H37" s="276">
        <v>1.2E-2</v>
      </c>
      <c r="I37" s="276">
        <v>4.01</v>
      </c>
      <c r="J37" s="276">
        <v>2</v>
      </c>
      <c r="K37" s="276">
        <v>0.08</v>
      </c>
      <c r="L37" s="276">
        <v>6.8949999999999996</v>
      </c>
      <c r="M37" s="276">
        <v>5.2240000000000002</v>
      </c>
      <c r="N37" s="276">
        <v>4.04</v>
      </c>
      <c r="O37" s="276">
        <v>0.99199999999999999</v>
      </c>
    </row>
    <row r="38" spans="1:15" s="277" customFormat="1" x14ac:dyDescent="0.25">
      <c r="A38" s="274"/>
      <c r="B38" s="275"/>
      <c r="C38" s="274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</row>
    <row r="39" spans="1:15" s="277" customFormat="1" x14ac:dyDescent="0.25">
      <c r="A39" s="274"/>
      <c r="B39" s="275" t="s">
        <v>84</v>
      </c>
      <c r="C39" s="274">
        <v>50</v>
      </c>
      <c r="D39" s="280">
        <v>3.95</v>
      </c>
      <c r="E39" s="280">
        <v>0.5</v>
      </c>
      <c r="F39" s="280">
        <v>24.15</v>
      </c>
      <c r="G39" s="280">
        <v>117.5</v>
      </c>
      <c r="H39" s="280">
        <v>0.08</v>
      </c>
      <c r="I39" s="280"/>
      <c r="J39" s="280"/>
      <c r="K39" s="280">
        <v>0.65</v>
      </c>
      <c r="L39" s="280">
        <v>11.5</v>
      </c>
      <c r="M39" s="280">
        <v>43.5</v>
      </c>
      <c r="N39" s="280">
        <v>16.5</v>
      </c>
      <c r="O39" s="280">
        <v>1</v>
      </c>
    </row>
    <row r="40" spans="1:15" s="277" customFormat="1" x14ac:dyDescent="0.25">
      <c r="A40" s="274" t="s">
        <v>19</v>
      </c>
      <c r="B40" s="275"/>
      <c r="C40" s="274">
        <f>SUM(C35:C39)</f>
        <v>540</v>
      </c>
      <c r="D40" s="276">
        <f>SUM(D35:D39)</f>
        <v>28.516000000000002</v>
      </c>
      <c r="E40" s="276">
        <f t="shared" ref="E40:O40" si="0">SUM(E35:E39)</f>
        <v>16.457000000000001</v>
      </c>
      <c r="F40" s="276">
        <f t="shared" si="0"/>
        <v>63.128999999999998</v>
      </c>
      <c r="G40" s="276">
        <f t="shared" si="0"/>
        <v>516.83600000000001</v>
      </c>
      <c r="H40" s="276">
        <f t="shared" si="0"/>
        <v>0.34800000000000003</v>
      </c>
      <c r="I40" s="276">
        <f t="shared" si="0"/>
        <v>39.31</v>
      </c>
      <c r="J40" s="276">
        <f t="shared" si="0"/>
        <v>2</v>
      </c>
      <c r="K40" s="276">
        <f t="shared" si="0"/>
        <v>3.6430000000000002</v>
      </c>
      <c r="L40" s="276">
        <f t="shared" si="0"/>
        <v>61.516999999999996</v>
      </c>
      <c r="M40" s="276">
        <f t="shared" si="0"/>
        <v>352.28899999999999</v>
      </c>
      <c r="N40" s="276">
        <f t="shared" si="0"/>
        <v>88.059000000000012</v>
      </c>
      <c r="O40" s="276">
        <f t="shared" si="0"/>
        <v>6.6049999999999995</v>
      </c>
    </row>
    <row r="41" spans="1:15" s="277" customFormat="1" x14ac:dyDescent="0.25">
      <c r="A41" s="274" t="s">
        <v>20</v>
      </c>
      <c r="B41" s="275"/>
      <c r="C41" s="274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</row>
    <row r="42" spans="1:15" s="277" customFormat="1" x14ac:dyDescent="0.25">
      <c r="A42" s="274" t="s">
        <v>305</v>
      </c>
      <c r="B42" s="275" t="s">
        <v>222</v>
      </c>
      <c r="C42" s="274">
        <v>125</v>
      </c>
      <c r="D42" s="276">
        <v>0.46</v>
      </c>
      <c r="E42" s="276">
        <v>0.46</v>
      </c>
      <c r="F42" s="276">
        <v>24.244</v>
      </c>
      <c r="G42" s="276">
        <v>102.956</v>
      </c>
      <c r="H42" s="276">
        <v>3.5000000000000003E-2</v>
      </c>
      <c r="I42" s="276">
        <v>11.5</v>
      </c>
      <c r="J42" s="276">
        <v>5.75</v>
      </c>
      <c r="K42" s="276">
        <v>0.23</v>
      </c>
      <c r="L42" s="276">
        <v>18.399999999999999</v>
      </c>
      <c r="M42" s="276">
        <v>12.65</v>
      </c>
      <c r="N42" s="276">
        <v>10.35</v>
      </c>
      <c r="O42" s="276">
        <v>2.569</v>
      </c>
    </row>
    <row r="43" spans="1:15" s="277" customFormat="1" x14ac:dyDescent="0.25">
      <c r="A43" s="274" t="s">
        <v>204</v>
      </c>
      <c r="B43" s="275" t="s">
        <v>219</v>
      </c>
      <c r="C43" s="274">
        <v>125</v>
      </c>
      <c r="D43" s="276">
        <v>3.375</v>
      </c>
      <c r="E43" s="276">
        <v>3.125</v>
      </c>
      <c r="F43" s="276">
        <v>13.5</v>
      </c>
      <c r="G43" s="276">
        <v>98.75</v>
      </c>
      <c r="H43" s="276">
        <v>3.7999999999999999E-2</v>
      </c>
      <c r="I43" s="276">
        <v>1.125</v>
      </c>
      <c r="J43" s="276">
        <v>25</v>
      </c>
      <c r="K43" s="276"/>
      <c r="L43" s="276">
        <v>151.25</v>
      </c>
      <c r="M43" s="276">
        <v>117.5</v>
      </c>
      <c r="N43" s="276">
        <v>18.75</v>
      </c>
      <c r="O43" s="276">
        <v>0.125</v>
      </c>
    </row>
    <row r="44" spans="1:15" s="277" customFormat="1" x14ac:dyDescent="0.25">
      <c r="A44" s="274" t="s">
        <v>21</v>
      </c>
      <c r="B44" s="275"/>
      <c r="C44" s="274">
        <v>250</v>
      </c>
      <c r="D44" s="276">
        <v>3.835</v>
      </c>
      <c r="E44" s="276">
        <v>3.585</v>
      </c>
      <c r="F44" s="276">
        <v>37.744</v>
      </c>
      <c r="G44" s="276">
        <v>201.70599999999999</v>
      </c>
      <c r="H44" s="276">
        <v>7.1999999999999995E-2</v>
      </c>
      <c r="I44" s="276">
        <v>12.625</v>
      </c>
      <c r="J44" s="276">
        <v>30.75</v>
      </c>
      <c r="K44" s="276">
        <v>0.23</v>
      </c>
      <c r="L44" s="276">
        <v>169.65</v>
      </c>
      <c r="M44" s="276">
        <v>130.15</v>
      </c>
      <c r="N44" s="276">
        <v>29.1</v>
      </c>
      <c r="O44" s="276">
        <v>2.694</v>
      </c>
    </row>
    <row r="45" spans="1:15" s="277" customFormat="1" x14ac:dyDescent="0.25">
      <c r="A45" s="274" t="s">
        <v>22</v>
      </c>
      <c r="B45" s="275"/>
      <c r="C45" s="274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</row>
    <row r="46" spans="1:15" s="277" customFormat="1" ht="31.5" x14ac:dyDescent="0.25">
      <c r="A46" s="274"/>
      <c r="B46" s="275" t="s">
        <v>303</v>
      </c>
      <c r="C46" s="274">
        <v>60</v>
      </c>
      <c r="D46" s="276">
        <v>0.42</v>
      </c>
      <c r="E46" s="276">
        <v>0.06</v>
      </c>
      <c r="F46" s="276">
        <v>1.1399999999999999</v>
      </c>
      <c r="G46" s="276">
        <v>6.6</v>
      </c>
      <c r="H46" s="276">
        <v>1.7999999999999999E-2</v>
      </c>
      <c r="I46" s="276">
        <v>4.2</v>
      </c>
      <c r="J46" s="276"/>
      <c r="K46" s="276">
        <v>0.06</v>
      </c>
      <c r="L46" s="276">
        <v>10.199999999999999</v>
      </c>
      <c r="M46" s="276">
        <v>18</v>
      </c>
      <c r="N46" s="276">
        <v>8.4</v>
      </c>
      <c r="O46" s="276">
        <v>0.3</v>
      </c>
    </row>
    <row r="47" spans="1:15" s="277" customFormat="1" ht="31.5" x14ac:dyDescent="0.25">
      <c r="A47" s="274" t="s">
        <v>306</v>
      </c>
      <c r="B47" s="275" t="s">
        <v>307</v>
      </c>
      <c r="C47" s="274">
        <v>250</v>
      </c>
      <c r="D47" s="276">
        <v>1.925</v>
      </c>
      <c r="E47" s="276">
        <v>4.4660000000000002</v>
      </c>
      <c r="F47" s="276">
        <v>10.085000000000001</v>
      </c>
      <c r="G47" s="276">
        <v>88.813999999999993</v>
      </c>
      <c r="H47" s="276">
        <v>7.2999999999999995E-2</v>
      </c>
      <c r="I47" s="276">
        <v>20</v>
      </c>
      <c r="J47" s="276">
        <v>200</v>
      </c>
      <c r="K47" s="276">
        <v>1.93</v>
      </c>
      <c r="L47" s="276">
        <v>28.98</v>
      </c>
      <c r="M47" s="276">
        <v>52.33</v>
      </c>
      <c r="N47" s="276">
        <v>17.420000000000002</v>
      </c>
      <c r="O47" s="276">
        <v>0.76400000000000001</v>
      </c>
    </row>
    <row r="48" spans="1:15" s="277" customFormat="1" ht="31.5" x14ac:dyDescent="0.25">
      <c r="A48" s="274" t="s">
        <v>308</v>
      </c>
      <c r="B48" s="275" t="s">
        <v>309</v>
      </c>
      <c r="C48" s="274">
        <v>90</v>
      </c>
      <c r="D48" s="276">
        <v>22.881</v>
      </c>
      <c r="E48" s="276">
        <v>7.2329999999999997</v>
      </c>
      <c r="F48" s="276">
        <v>0.73799999999999999</v>
      </c>
      <c r="G48" s="276">
        <v>159.09</v>
      </c>
      <c r="H48" s="276">
        <v>0.22700000000000001</v>
      </c>
      <c r="I48" s="276">
        <v>1.899</v>
      </c>
      <c r="J48" s="276">
        <v>33.299999999999997</v>
      </c>
      <c r="K48" s="276">
        <v>1.6830000000000001</v>
      </c>
      <c r="L48" s="276">
        <v>24.99</v>
      </c>
      <c r="M48" s="276">
        <v>227.22</v>
      </c>
      <c r="N48" s="276">
        <v>34.56</v>
      </c>
      <c r="O48" s="276">
        <v>0.73799999999999999</v>
      </c>
    </row>
    <row r="49" spans="1:15" s="277" customFormat="1" x14ac:dyDescent="0.25">
      <c r="A49" s="274" t="s">
        <v>310</v>
      </c>
      <c r="B49" s="275" t="s">
        <v>106</v>
      </c>
      <c r="C49" s="274">
        <v>150</v>
      </c>
      <c r="D49" s="276">
        <v>3.2789999999999999</v>
      </c>
      <c r="E49" s="276">
        <v>3.9910000000000001</v>
      </c>
      <c r="F49" s="276">
        <v>22.183</v>
      </c>
      <c r="G49" s="276">
        <v>138.18600000000001</v>
      </c>
      <c r="H49" s="276">
        <v>0.16</v>
      </c>
      <c r="I49" s="276">
        <v>25.937999999999999</v>
      </c>
      <c r="J49" s="276">
        <v>18.3</v>
      </c>
      <c r="K49" s="276">
        <v>0.16900000000000001</v>
      </c>
      <c r="L49" s="276">
        <v>45.14</v>
      </c>
      <c r="M49" s="276">
        <v>97.47</v>
      </c>
      <c r="N49" s="276">
        <v>33.11</v>
      </c>
      <c r="O49" s="276">
        <v>1.2210000000000001</v>
      </c>
    </row>
    <row r="50" spans="1:15" s="277" customFormat="1" x14ac:dyDescent="0.25">
      <c r="A50" s="274" t="s">
        <v>311</v>
      </c>
      <c r="B50" s="275" t="s">
        <v>107</v>
      </c>
      <c r="C50" s="274">
        <v>180</v>
      </c>
      <c r="D50" s="276">
        <v>0.70199999999999996</v>
      </c>
      <c r="E50" s="276">
        <v>5.3999999999999999E-2</v>
      </c>
      <c r="F50" s="276">
        <v>23.097999999999999</v>
      </c>
      <c r="G50" s="276">
        <v>96.72</v>
      </c>
      <c r="H50" s="276">
        <v>1.7999999999999999E-2</v>
      </c>
      <c r="I50" s="276">
        <v>0.72</v>
      </c>
      <c r="J50" s="276"/>
      <c r="K50" s="276">
        <v>0.99</v>
      </c>
      <c r="L50" s="276">
        <v>28.8</v>
      </c>
      <c r="M50" s="276">
        <v>26.28</v>
      </c>
      <c r="N50" s="276">
        <v>18.899999999999999</v>
      </c>
      <c r="O50" s="276">
        <v>0.61799999999999999</v>
      </c>
    </row>
    <row r="51" spans="1:15" s="277" customFormat="1" x14ac:dyDescent="0.25">
      <c r="A51" s="274">
        <v>0</v>
      </c>
      <c r="B51" s="275" t="s">
        <v>84</v>
      </c>
      <c r="C51" s="274">
        <v>70</v>
      </c>
      <c r="D51" s="276">
        <v>5.53</v>
      </c>
      <c r="E51" s="276">
        <v>0.7</v>
      </c>
      <c r="F51" s="276">
        <v>33.81</v>
      </c>
      <c r="G51" s="276">
        <v>164.5</v>
      </c>
      <c r="H51" s="276">
        <v>0.112</v>
      </c>
      <c r="I51" s="276"/>
      <c r="J51" s="276"/>
      <c r="K51" s="276">
        <v>0.91</v>
      </c>
      <c r="L51" s="276">
        <v>16.100000000000001</v>
      </c>
      <c r="M51" s="276">
        <v>60.9</v>
      </c>
      <c r="N51" s="276">
        <v>23.1</v>
      </c>
      <c r="O51" s="276">
        <v>1.4</v>
      </c>
    </row>
    <row r="52" spans="1:15" s="277" customFormat="1" x14ac:dyDescent="0.25">
      <c r="A52" s="274" t="s">
        <v>23</v>
      </c>
      <c r="B52" s="275"/>
      <c r="C52" s="274">
        <v>800</v>
      </c>
      <c r="D52" s="276">
        <v>34.737000000000002</v>
      </c>
      <c r="E52" s="276">
        <v>16.504000000000001</v>
      </c>
      <c r="F52" s="276">
        <v>91.054000000000002</v>
      </c>
      <c r="G52" s="276">
        <v>653.91</v>
      </c>
      <c r="H52" s="276">
        <v>0.60699999999999998</v>
      </c>
      <c r="I52" s="276">
        <v>52.756999999999998</v>
      </c>
      <c r="J52" s="276">
        <v>251.6</v>
      </c>
      <c r="K52" s="276">
        <v>5.742</v>
      </c>
      <c r="L52" s="276">
        <v>154.21</v>
      </c>
      <c r="M52" s="276">
        <v>482.2</v>
      </c>
      <c r="N52" s="276">
        <v>135.49</v>
      </c>
      <c r="O52" s="276">
        <v>5.0410000000000004</v>
      </c>
    </row>
    <row r="53" spans="1:15" s="277" customFormat="1" x14ac:dyDescent="0.25">
      <c r="A53" s="274" t="s">
        <v>24</v>
      </c>
      <c r="B53" s="275"/>
      <c r="C53" s="274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</row>
    <row r="54" spans="1:15" s="277" customFormat="1" x14ac:dyDescent="0.25">
      <c r="A54" s="274" t="s">
        <v>305</v>
      </c>
      <c r="B54" s="275" t="s">
        <v>222</v>
      </c>
      <c r="C54" s="274">
        <v>125</v>
      </c>
      <c r="D54" s="276">
        <v>0.46</v>
      </c>
      <c r="E54" s="276">
        <v>0.46</v>
      </c>
      <c r="F54" s="276">
        <v>24.244</v>
      </c>
      <c r="G54" s="276">
        <v>102.956</v>
      </c>
      <c r="H54" s="276">
        <v>3.5000000000000003E-2</v>
      </c>
      <c r="I54" s="276">
        <v>11.5</v>
      </c>
      <c r="J54" s="276">
        <v>5.75</v>
      </c>
      <c r="K54" s="276">
        <v>0.23</v>
      </c>
      <c r="L54" s="276">
        <v>18.399999999999999</v>
      </c>
      <c r="M54" s="276">
        <v>12.65</v>
      </c>
      <c r="N54" s="276">
        <v>10.35</v>
      </c>
      <c r="O54" s="276">
        <v>2.569</v>
      </c>
    </row>
    <row r="55" spans="1:15" s="277" customFormat="1" x14ac:dyDescent="0.25">
      <c r="A55" s="274" t="s">
        <v>204</v>
      </c>
      <c r="B55" s="275" t="s">
        <v>219</v>
      </c>
      <c r="C55" s="274">
        <v>125</v>
      </c>
      <c r="D55" s="276">
        <v>3.375</v>
      </c>
      <c r="E55" s="276">
        <v>3.125</v>
      </c>
      <c r="F55" s="276">
        <v>13.5</v>
      </c>
      <c r="G55" s="276">
        <v>98.75</v>
      </c>
      <c r="H55" s="276">
        <v>3.7999999999999999E-2</v>
      </c>
      <c r="I55" s="276">
        <v>1.125</v>
      </c>
      <c r="J55" s="276">
        <v>25</v>
      </c>
      <c r="K55" s="276"/>
      <c r="L55" s="276">
        <v>151.25</v>
      </c>
      <c r="M55" s="276">
        <v>117.5</v>
      </c>
      <c r="N55" s="276">
        <v>18.75</v>
      </c>
      <c r="O55" s="276">
        <v>0.125</v>
      </c>
    </row>
    <row r="56" spans="1:15" s="277" customFormat="1" x14ac:dyDescent="0.25">
      <c r="A56" s="274" t="s">
        <v>25</v>
      </c>
      <c r="B56" s="275"/>
      <c r="C56" s="274">
        <v>250</v>
      </c>
      <c r="D56" s="276">
        <v>3.835</v>
      </c>
      <c r="E56" s="276">
        <v>3.585</v>
      </c>
      <c r="F56" s="276">
        <v>37.744</v>
      </c>
      <c r="G56" s="276">
        <v>201.70599999999999</v>
      </c>
      <c r="H56" s="276">
        <v>7.1999999999999995E-2</v>
      </c>
      <c r="I56" s="276">
        <v>12.625</v>
      </c>
      <c r="J56" s="276">
        <v>30.75</v>
      </c>
      <c r="K56" s="276">
        <v>0.23</v>
      </c>
      <c r="L56" s="276">
        <v>169.65</v>
      </c>
      <c r="M56" s="276">
        <v>130.15</v>
      </c>
      <c r="N56" s="276">
        <v>29.1</v>
      </c>
      <c r="O56" s="276">
        <v>2.694</v>
      </c>
    </row>
    <row r="57" spans="1:15" s="277" customFormat="1" x14ac:dyDescent="0.25">
      <c r="A57" s="274" t="s">
        <v>28</v>
      </c>
      <c r="B57" s="275"/>
      <c r="C57" s="274">
        <f>C56+C52+C44+C40</f>
        <v>1840</v>
      </c>
      <c r="D57" s="276">
        <f t="shared" ref="D57:O57" si="1">D56+D52+D44+D40</f>
        <v>70.923000000000002</v>
      </c>
      <c r="E57" s="276">
        <f t="shared" si="1"/>
        <v>40.131</v>
      </c>
      <c r="F57" s="276">
        <f t="shared" si="1"/>
        <v>229.67099999999999</v>
      </c>
      <c r="G57" s="276">
        <f t="shared" si="1"/>
        <v>1574.1579999999999</v>
      </c>
      <c r="H57" s="276">
        <f t="shared" si="1"/>
        <v>1.099</v>
      </c>
      <c r="I57" s="276">
        <f t="shared" si="1"/>
        <v>117.31700000000001</v>
      </c>
      <c r="J57" s="276">
        <f t="shared" si="1"/>
        <v>315.10000000000002</v>
      </c>
      <c r="K57" s="276">
        <f t="shared" si="1"/>
        <v>9.8450000000000006</v>
      </c>
      <c r="L57" s="276">
        <f t="shared" si="1"/>
        <v>555.02700000000004</v>
      </c>
      <c r="M57" s="276">
        <f t="shared" si="1"/>
        <v>1094.789</v>
      </c>
      <c r="N57" s="276">
        <f t="shared" si="1"/>
        <v>281.74900000000002</v>
      </c>
      <c r="O57" s="276">
        <f t="shared" si="1"/>
        <v>17.033999999999999</v>
      </c>
    </row>
    <row r="58" spans="1:15" s="277" customFormat="1" x14ac:dyDescent="0.25">
      <c r="A58" s="274" t="s">
        <v>29</v>
      </c>
      <c r="B58" s="275"/>
      <c r="C58" s="274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</row>
    <row r="59" spans="1:15" s="277" customFormat="1" ht="31.5" x14ac:dyDescent="0.25">
      <c r="A59" s="274" t="s">
        <v>0</v>
      </c>
      <c r="B59" s="275" t="s">
        <v>1</v>
      </c>
      <c r="C59" s="274" t="s">
        <v>2</v>
      </c>
      <c r="D59" s="276" t="s">
        <v>3</v>
      </c>
      <c r="E59" s="276"/>
      <c r="F59" s="276"/>
      <c r="G59" s="276" t="s">
        <v>4</v>
      </c>
      <c r="H59" s="276" t="s">
        <v>5</v>
      </c>
      <c r="I59" s="276"/>
      <c r="J59" s="276"/>
      <c r="K59" s="276"/>
      <c r="L59" s="276" t="s">
        <v>6</v>
      </c>
      <c r="M59" s="276"/>
      <c r="N59" s="276"/>
      <c r="O59" s="276"/>
    </row>
    <row r="60" spans="1:15" s="277" customFormat="1" x14ac:dyDescent="0.25">
      <c r="A60" s="274"/>
      <c r="B60" s="275"/>
      <c r="C60" s="274"/>
      <c r="D60" s="276" t="s">
        <v>7</v>
      </c>
      <c r="E60" s="276" t="s">
        <v>8</v>
      </c>
      <c r="F60" s="276" t="s">
        <v>9</v>
      </c>
      <c r="G60" s="276"/>
      <c r="H60" s="276" t="s">
        <v>10</v>
      </c>
      <c r="I60" s="276" t="s">
        <v>11</v>
      </c>
      <c r="J60" s="276" t="s">
        <v>12</v>
      </c>
      <c r="K60" s="276" t="s">
        <v>13</v>
      </c>
      <c r="L60" s="276" t="s">
        <v>14</v>
      </c>
      <c r="M60" s="276" t="s">
        <v>15</v>
      </c>
      <c r="N60" s="276" t="s">
        <v>16</v>
      </c>
      <c r="O60" s="276" t="s">
        <v>17</v>
      </c>
    </row>
    <row r="61" spans="1:15" s="277" customFormat="1" x14ac:dyDescent="0.25">
      <c r="A61" s="274" t="s">
        <v>18</v>
      </c>
      <c r="B61" s="275"/>
      <c r="C61" s="274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</row>
    <row r="62" spans="1:15" s="277" customFormat="1" ht="31.5" x14ac:dyDescent="0.25">
      <c r="A62" s="274" t="s">
        <v>313</v>
      </c>
      <c r="B62" s="275" t="s">
        <v>224</v>
      </c>
      <c r="C62" s="274">
        <v>60</v>
      </c>
      <c r="D62" s="276">
        <v>2.1840000000000002</v>
      </c>
      <c r="E62" s="276">
        <v>7.6079999999999997</v>
      </c>
      <c r="F62" s="276">
        <v>3.3119999999999998</v>
      </c>
      <c r="G62" s="276">
        <v>91.385999999999996</v>
      </c>
      <c r="H62" s="276">
        <v>3.1E-2</v>
      </c>
      <c r="I62" s="276">
        <v>2.448</v>
      </c>
      <c r="J62" s="276">
        <v>973.8</v>
      </c>
      <c r="K62" s="276">
        <v>2.8620000000000001</v>
      </c>
      <c r="L62" s="276">
        <v>73.622</v>
      </c>
      <c r="M62" s="276">
        <v>65.055000000000007</v>
      </c>
      <c r="N62" s="276">
        <v>20.98</v>
      </c>
      <c r="O62" s="276">
        <v>0.40100000000000002</v>
      </c>
    </row>
    <row r="63" spans="1:15" s="277" customFormat="1" ht="31.5" x14ac:dyDescent="0.25">
      <c r="A63" s="274" t="s">
        <v>314</v>
      </c>
      <c r="B63" s="275" t="s">
        <v>315</v>
      </c>
      <c r="C63" s="274">
        <v>80</v>
      </c>
      <c r="D63" s="276">
        <v>14.535</v>
      </c>
      <c r="E63" s="276">
        <v>9.0120000000000005</v>
      </c>
      <c r="F63" s="276">
        <v>12.749000000000001</v>
      </c>
      <c r="G63" s="276">
        <v>191.22200000000001</v>
      </c>
      <c r="H63" s="276">
        <v>9.6000000000000002E-2</v>
      </c>
      <c r="I63" s="276">
        <v>1.18</v>
      </c>
      <c r="J63" s="276">
        <v>55.6</v>
      </c>
      <c r="K63" s="276">
        <v>0.60399999999999998</v>
      </c>
      <c r="L63" s="276">
        <v>16.11</v>
      </c>
      <c r="M63" s="276">
        <v>119.77</v>
      </c>
      <c r="N63" s="276">
        <v>19.920000000000002</v>
      </c>
      <c r="O63" s="276">
        <v>1.347</v>
      </c>
    </row>
    <row r="64" spans="1:15" s="277" customFormat="1" x14ac:dyDescent="0.25">
      <c r="A64" s="274" t="s">
        <v>316</v>
      </c>
      <c r="B64" s="275" t="s">
        <v>184</v>
      </c>
      <c r="C64" s="274">
        <v>30</v>
      </c>
      <c r="D64" s="276">
        <v>0.66700000000000004</v>
      </c>
      <c r="E64" s="276">
        <v>1.851</v>
      </c>
      <c r="F64" s="276">
        <v>2.4430000000000001</v>
      </c>
      <c r="G64" s="276">
        <v>29.195</v>
      </c>
      <c r="H64" s="276">
        <v>1.9E-2</v>
      </c>
      <c r="I64" s="276">
        <v>0.09</v>
      </c>
      <c r="J64" s="276">
        <v>9.5</v>
      </c>
      <c r="K64" s="276">
        <v>0.05</v>
      </c>
      <c r="L64" s="276">
        <v>18.84</v>
      </c>
      <c r="M64" s="276">
        <v>15.82</v>
      </c>
      <c r="N64" s="276">
        <v>2.42</v>
      </c>
      <c r="O64" s="276">
        <v>4.3999999999999997E-2</v>
      </c>
    </row>
    <row r="65" spans="1:15" s="277" customFormat="1" x14ac:dyDescent="0.25">
      <c r="A65" s="278" t="s">
        <v>374</v>
      </c>
      <c r="B65" s="279" t="s">
        <v>357</v>
      </c>
      <c r="C65" s="278">
        <v>150</v>
      </c>
      <c r="D65" s="280">
        <v>5.8620000000000001</v>
      </c>
      <c r="E65" s="280">
        <v>3.589</v>
      </c>
      <c r="F65" s="280">
        <v>37.417000000000002</v>
      </c>
      <c r="G65" s="280">
        <v>205.57599999999999</v>
      </c>
      <c r="H65" s="280">
        <v>9.0999999999999998E-2</v>
      </c>
      <c r="I65" s="280"/>
      <c r="J65" s="280">
        <v>16</v>
      </c>
      <c r="K65" s="280">
        <v>0.83499999999999996</v>
      </c>
      <c r="L65" s="280">
        <v>12.134</v>
      </c>
      <c r="M65" s="280">
        <v>47.534999999999997</v>
      </c>
      <c r="N65" s="280">
        <v>8.5459999999999994</v>
      </c>
      <c r="O65" s="280">
        <v>0.86499999999999999</v>
      </c>
    </row>
    <row r="66" spans="1:15" s="277" customFormat="1" x14ac:dyDescent="0.25">
      <c r="A66" s="274" t="s">
        <v>228</v>
      </c>
      <c r="B66" s="275" t="s">
        <v>229</v>
      </c>
      <c r="C66" s="274">
        <v>180</v>
      </c>
      <c r="D66" s="276">
        <v>3.61</v>
      </c>
      <c r="E66" s="276">
        <v>2.75</v>
      </c>
      <c r="F66" s="276">
        <v>12.804</v>
      </c>
      <c r="G66" s="276">
        <v>86.52</v>
      </c>
      <c r="H66" s="276">
        <v>2.1000000000000001E-2</v>
      </c>
      <c r="I66" s="276">
        <v>0.72399999999999998</v>
      </c>
      <c r="J66" s="276">
        <v>9</v>
      </c>
      <c r="K66" s="276"/>
      <c r="L66" s="276">
        <v>112.76600000000001</v>
      </c>
      <c r="M66" s="276">
        <v>81</v>
      </c>
      <c r="N66" s="276">
        <v>12.6</v>
      </c>
      <c r="O66" s="276">
        <v>0.11799999999999999</v>
      </c>
    </row>
    <row r="67" spans="1:15" s="277" customFormat="1" x14ac:dyDescent="0.25">
      <c r="A67" s="274">
        <v>0</v>
      </c>
      <c r="B67" s="275" t="s">
        <v>84</v>
      </c>
      <c r="C67" s="274">
        <v>50</v>
      </c>
      <c r="D67" s="276">
        <v>3.95</v>
      </c>
      <c r="E67" s="276">
        <v>0.5</v>
      </c>
      <c r="F67" s="276">
        <v>24.15</v>
      </c>
      <c r="G67" s="276">
        <v>117.5</v>
      </c>
      <c r="H67" s="276">
        <v>0.08</v>
      </c>
      <c r="I67" s="276"/>
      <c r="J67" s="276"/>
      <c r="K67" s="276">
        <v>0.65</v>
      </c>
      <c r="L67" s="276">
        <v>11.5</v>
      </c>
      <c r="M67" s="276">
        <v>43.5</v>
      </c>
      <c r="N67" s="276">
        <v>16.5</v>
      </c>
      <c r="O67" s="276">
        <v>1</v>
      </c>
    </row>
    <row r="68" spans="1:15" s="277" customFormat="1" x14ac:dyDescent="0.25">
      <c r="A68" s="274">
        <v>0</v>
      </c>
      <c r="B68" s="275" t="s">
        <v>198</v>
      </c>
      <c r="C68" s="274">
        <v>120</v>
      </c>
      <c r="D68" s="276">
        <v>1.8</v>
      </c>
      <c r="E68" s="276">
        <v>0.6</v>
      </c>
      <c r="F68" s="276">
        <v>25.2</v>
      </c>
      <c r="G68" s="276">
        <v>115.2</v>
      </c>
      <c r="H68" s="276">
        <v>4.8000000000000001E-2</v>
      </c>
      <c r="I68" s="276">
        <v>12</v>
      </c>
      <c r="J68" s="276"/>
      <c r="K68" s="276">
        <v>0.48</v>
      </c>
      <c r="L68" s="276">
        <v>9.6</v>
      </c>
      <c r="M68" s="276">
        <v>33.6</v>
      </c>
      <c r="N68" s="276">
        <v>50.4</v>
      </c>
      <c r="O68" s="276">
        <v>0.72</v>
      </c>
    </row>
    <row r="69" spans="1:15" s="277" customFormat="1" x14ac:dyDescent="0.25">
      <c r="A69" s="274" t="s">
        <v>19</v>
      </c>
      <c r="B69" s="275"/>
      <c r="C69" s="274">
        <f>SUM(C62:C68)</f>
        <v>670</v>
      </c>
      <c r="D69" s="276">
        <f>SUM(D62:D68)</f>
        <v>32.608000000000004</v>
      </c>
      <c r="E69" s="276">
        <f t="shared" ref="E69:O69" si="2">SUM(E62:E68)</f>
        <v>25.91</v>
      </c>
      <c r="F69" s="276">
        <f t="shared" si="2"/>
        <v>118.075</v>
      </c>
      <c r="G69" s="276">
        <f t="shared" si="2"/>
        <v>836.59900000000005</v>
      </c>
      <c r="H69" s="276">
        <f t="shared" si="2"/>
        <v>0.38600000000000001</v>
      </c>
      <c r="I69" s="276">
        <f t="shared" si="2"/>
        <v>16.442</v>
      </c>
      <c r="J69" s="276">
        <f t="shared" si="2"/>
        <v>1063.8999999999999</v>
      </c>
      <c r="K69" s="276">
        <f t="shared" si="2"/>
        <v>5.4809999999999999</v>
      </c>
      <c r="L69" s="276">
        <f t="shared" si="2"/>
        <v>254.572</v>
      </c>
      <c r="M69" s="276">
        <f t="shared" si="2"/>
        <v>406.28</v>
      </c>
      <c r="N69" s="276">
        <f t="shared" si="2"/>
        <v>131.36600000000001</v>
      </c>
      <c r="O69" s="276">
        <f t="shared" si="2"/>
        <v>4.4950000000000001</v>
      </c>
    </row>
    <row r="70" spans="1:15" s="277" customFormat="1" x14ac:dyDescent="0.25">
      <c r="A70" s="274" t="s">
        <v>20</v>
      </c>
      <c r="B70" s="275"/>
      <c r="C70" s="274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</row>
    <row r="71" spans="1:15" s="277" customFormat="1" ht="31.5" x14ac:dyDescent="0.25">
      <c r="A71" s="274" t="s">
        <v>317</v>
      </c>
      <c r="B71" s="275" t="s">
        <v>318</v>
      </c>
      <c r="C71" s="274">
        <v>125</v>
      </c>
      <c r="D71" s="276">
        <v>1.1819999999999999</v>
      </c>
      <c r="E71" s="276">
        <v>0.252</v>
      </c>
      <c r="F71" s="276">
        <v>24.756</v>
      </c>
      <c r="G71" s="276">
        <v>106.02</v>
      </c>
      <c r="H71" s="276">
        <v>2.5000000000000001E-2</v>
      </c>
      <c r="I71" s="276">
        <v>3.8</v>
      </c>
      <c r="J71" s="276">
        <v>1.9</v>
      </c>
      <c r="K71" s="276">
        <v>0.22600000000000001</v>
      </c>
      <c r="L71" s="276">
        <v>8.08</v>
      </c>
      <c r="M71" s="276">
        <v>12.68</v>
      </c>
      <c r="N71" s="276">
        <v>5.22</v>
      </c>
      <c r="O71" s="276">
        <v>0.97799999999999998</v>
      </c>
    </row>
    <row r="72" spans="1:15" s="277" customFormat="1" x14ac:dyDescent="0.25">
      <c r="A72" s="274" t="s">
        <v>204</v>
      </c>
      <c r="B72" s="275" t="s">
        <v>219</v>
      </c>
      <c r="C72" s="274">
        <v>125</v>
      </c>
      <c r="D72" s="276">
        <v>3.375</v>
      </c>
      <c r="E72" s="276">
        <v>3.125</v>
      </c>
      <c r="F72" s="276">
        <v>13.5</v>
      </c>
      <c r="G72" s="276">
        <v>98.75</v>
      </c>
      <c r="H72" s="276">
        <v>3.7999999999999999E-2</v>
      </c>
      <c r="I72" s="276">
        <v>1.125</v>
      </c>
      <c r="J72" s="276">
        <v>25</v>
      </c>
      <c r="K72" s="276"/>
      <c r="L72" s="276">
        <v>151.25</v>
      </c>
      <c r="M72" s="276">
        <v>117.5</v>
      </c>
      <c r="N72" s="276">
        <v>18.75</v>
      </c>
      <c r="O72" s="276">
        <v>0.125</v>
      </c>
    </row>
    <row r="73" spans="1:15" s="277" customFormat="1" x14ac:dyDescent="0.25">
      <c r="A73" s="274" t="s">
        <v>21</v>
      </c>
      <c r="B73" s="275"/>
      <c r="C73" s="274">
        <v>250</v>
      </c>
      <c r="D73" s="276">
        <v>4.5570000000000004</v>
      </c>
      <c r="E73" s="276">
        <v>3.3769999999999998</v>
      </c>
      <c r="F73" s="276">
        <v>38.256</v>
      </c>
      <c r="G73" s="276">
        <v>204.77</v>
      </c>
      <c r="H73" s="276">
        <v>6.3E-2</v>
      </c>
      <c r="I73" s="276">
        <v>4.9249999999999998</v>
      </c>
      <c r="J73" s="276">
        <v>26.9</v>
      </c>
      <c r="K73" s="276">
        <v>0.22600000000000001</v>
      </c>
      <c r="L73" s="276">
        <v>159.33000000000001</v>
      </c>
      <c r="M73" s="276">
        <v>130.18</v>
      </c>
      <c r="N73" s="276">
        <v>23.97</v>
      </c>
      <c r="O73" s="276">
        <v>1.103</v>
      </c>
    </row>
    <row r="74" spans="1:15" s="277" customFormat="1" x14ac:dyDescent="0.25">
      <c r="A74" s="274" t="s">
        <v>22</v>
      </c>
      <c r="B74" s="275"/>
      <c r="C74" s="274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</row>
    <row r="75" spans="1:15" s="277" customFormat="1" x14ac:dyDescent="0.25">
      <c r="A75" s="274" t="s">
        <v>312</v>
      </c>
      <c r="B75" s="275" t="s">
        <v>286</v>
      </c>
      <c r="C75" s="274">
        <v>60</v>
      </c>
      <c r="D75" s="276">
        <v>1.052</v>
      </c>
      <c r="E75" s="276">
        <v>2.2170000000000001</v>
      </c>
      <c r="F75" s="276">
        <v>5.4589999999999996</v>
      </c>
      <c r="G75" s="276">
        <v>46.991999999999997</v>
      </c>
      <c r="H75" s="276">
        <v>3.6999999999999998E-2</v>
      </c>
      <c r="I75" s="276">
        <v>19.3</v>
      </c>
      <c r="J75" s="276"/>
      <c r="K75" s="276">
        <v>1.0409999999999999</v>
      </c>
      <c r="L75" s="276">
        <v>23.09</v>
      </c>
      <c r="M75" s="276">
        <v>21.32</v>
      </c>
      <c r="N75" s="276">
        <v>12.54</v>
      </c>
      <c r="O75" s="276">
        <v>0.57999999999999996</v>
      </c>
    </row>
    <row r="76" spans="1:15" s="277" customFormat="1" ht="47.25" x14ac:dyDescent="0.25">
      <c r="A76" s="274" t="s">
        <v>319</v>
      </c>
      <c r="B76" s="275" t="s">
        <v>280</v>
      </c>
      <c r="C76" s="274">
        <v>250</v>
      </c>
      <c r="D76" s="276">
        <v>8.2210000000000001</v>
      </c>
      <c r="E76" s="276">
        <v>5.8920000000000003</v>
      </c>
      <c r="F76" s="276">
        <v>20.001000000000001</v>
      </c>
      <c r="G76" s="276">
        <v>166.41300000000001</v>
      </c>
      <c r="H76" s="276">
        <v>0.17</v>
      </c>
      <c r="I76" s="276">
        <v>18.16</v>
      </c>
      <c r="J76" s="276">
        <v>119.5</v>
      </c>
      <c r="K76" s="276">
        <v>0.33100000000000002</v>
      </c>
      <c r="L76" s="276">
        <v>62.151000000000003</v>
      </c>
      <c r="M76" s="276">
        <v>140.42400000000001</v>
      </c>
      <c r="N76" s="276">
        <v>33.590000000000003</v>
      </c>
      <c r="O76" s="276">
        <v>1.647</v>
      </c>
    </row>
    <row r="77" spans="1:15" s="277" customFormat="1" x14ac:dyDescent="0.25">
      <c r="A77" s="274" t="s">
        <v>320</v>
      </c>
      <c r="B77" s="275" t="s">
        <v>321</v>
      </c>
      <c r="C77" s="274">
        <v>120</v>
      </c>
      <c r="D77" s="276">
        <v>22.065999999999999</v>
      </c>
      <c r="E77" s="276">
        <v>15.08</v>
      </c>
      <c r="F77" s="276">
        <v>20.908999999999999</v>
      </c>
      <c r="G77" s="276">
        <v>312.27699999999999</v>
      </c>
      <c r="H77" s="276">
        <v>7.0999999999999994E-2</v>
      </c>
      <c r="I77" s="276">
        <v>0.57499999999999996</v>
      </c>
      <c r="J77" s="276">
        <v>93</v>
      </c>
      <c r="K77" s="276">
        <v>0.29499999999999998</v>
      </c>
      <c r="L77" s="276">
        <v>197.977</v>
      </c>
      <c r="M77" s="276">
        <v>271.44499999999999</v>
      </c>
      <c r="N77" s="276">
        <v>30.466999999999999</v>
      </c>
      <c r="O77" s="276">
        <v>0.88800000000000001</v>
      </c>
    </row>
    <row r="78" spans="1:15" s="277" customFormat="1" x14ac:dyDescent="0.25">
      <c r="A78" s="274"/>
      <c r="B78" s="275" t="s">
        <v>118</v>
      </c>
      <c r="C78" s="274">
        <v>30</v>
      </c>
      <c r="D78" s="276">
        <v>0.51200000000000001</v>
      </c>
      <c r="E78" s="276">
        <v>1.347</v>
      </c>
      <c r="F78" s="276">
        <v>12.132999999999999</v>
      </c>
      <c r="G78" s="276">
        <v>62.859000000000002</v>
      </c>
      <c r="H78" s="276">
        <v>2.4E-2</v>
      </c>
      <c r="I78" s="276">
        <v>3.5000000000000003E-2</v>
      </c>
      <c r="J78" s="276">
        <v>8.75</v>
      </c>
      <c r="K78" s="276">
        <v>6.6000000000000003E-2</v>
      </c>
      <c r="L78" s="276">
        <v>8.173</v>
      </c>
      <c r="M78" s="276">
        <v>7.5990000000000002</v>
      </c>
      <c r="N78" s="276">
        <v>1.208</v>
      </c>
      <c r="O78" s="276">
        <v>7.9000000000000001E-2</v>
      </c>
    </row>
    <row r="79" spans="1:15" s="277" customFormat="1" ht="31.5" x14ac:dyDescent="0.25">
      <c r="A79" s="274" t="s">
        <v>375</v>
      </c>
      <c r="B79" s="275" t="s">
        <v>322</v>
      </c>
      <c r="C79" s="274">
        <v>180</v>
      </c>
      <c r="D79" s="276">
        <v>0.188</v>
      </c>
      <c r="E79" s="276">
        <v>3.5999999999999997E-2</v>
      </c>
      <c r="F79" s="276">
        <v>16.309999999999999</v>
      </c>
      <c r="G79" s="276">
        <v>63.8</v>
      </c>
      <c r="H79" s="276">
        <v>5.0000000000000001E-3</v>
      </c>
      <c r="I79" s="276">
        <v>36</v>
      </c>
      <c r="J79" s="276"/>
      <c r="K79" s="276">
        <v>0.13</v>
      </c>
      <c r="L79" s="276">
        <v>9.68</v>
      </c>
      <c r="M79" s="276">
        <v>12.1</v>
      </c>
      <c r="N79" s="276">
        <v>5.58</v>
      </c>
      <c r="O79" s="276">
        <v>0.25800000000000001</v>
      </c>
    </row>
    <row r="80" spans="1:15" s="277" customFormat="1" x14ac:dyDescent="0.25">
      <c r="A80" s="274">
        <v>0</v>
      </c>
      <c r="B80" s="275" t="s">
        <v>84</v>
      </c>
      <c r="C80" s="274">
        <v>70</v>
      </c>
      <c r="D80" s="276">
        <v>5.53</v>
      </c>
      <c r="E80" s="276">
        <v>0.7</v>
      </c>
      <c r="F80" s="276">
        <v>33.81</v>
      </c>
      <c r="G80" s="276">
        <v>164.5</v>
      </c>
      <c r="H80" s="276">
        <v>0.112</v>
      </c>
      <c r="I80" s="276"/>
      <c r="J80" s="276"/>
      <c r="K80" s="276">
        <v>0.91</v>
      </c>
      <c r="L80" s="276">
        <v>16.100000000000001</v>
      </c>
      <c r="M80" s="276">
        <v>60.9</v>
      </c>
      <c r="N80" s="276">
        <v>23.1</v>
      </c>
      <c r="O80" s="276">
        <v>1.4</v>
      </c>
    </row>
    <row r="81" spans="1:15" s="277" customFormat="1" x14ac:dyDescent="0.25">
      <c r="A81" s="274" t="s">
        <v>23</v>
      </c>
      <c r="B81" s="275"/>
      <c r="C81" s="274">
        <f>SUM(C75:C80)</f>
        <v>710</v>
      </c>
      <c r="D81" s="276">
        <f>SUM(D75:D80)</f>
        <v>37.569000000000003</v>
      </c>
      <c r="E81" s="276">
        <f t="shared" ref="E81:O81" si="3">SUM(E75:E80)</f>
        <v>25.272000000000002</v>
      </c>
      <c r="F81" s="276">
        <f t="shared" si="3"/>
        <v>108.622</v>
      </c>
      <c r="G81" s="276">
        <f t="shared" si="3"/>
        <v>816.84100000000001</v>
      </c>
      <c r="H81" s="276">
        <f t="shared" si="3"/>
        <v>0.41900000000000004</v>
      </c>
      <c r="I81" s="276">
        <f t="shared" si="3"/>
        <v>74.069999999999993</v>
      </c>
      <c r="J81" s="276">
        <f t="shared" si="3"/>
        <v>221.25</v>
      </c>
      <c r="K81" s="276">
        <f t="shared" si="3"/>
        <v>2.7730000000000001</v>
      </c>
      <c r="L81" s="276">
        <f t="shared" si="3"/>
        <v>317.17100000000005</v>
      </c>
      <c r="M81" s="276">
        <f t="shared" si="3"/>
        <v>513.78800000000001</v>
      </c>
      <c r="N81" s="276">
        <f t="shared" si="3"/>
        <v>106.48500000000001</v>
      </c>
      <c r="O81" s="276">
        <f t="shared" si="3"/>
        <v>4.8520000000000003</v>
      </c>
    </row>
    <row r="82" spans="1:15" s="277" customFormat="1" x14ac:dyDescent="0.25">
      <c r="A82" s="274" t="s">
        <v>24</v>
      </c>
      <c r="B82" s="275"/>
      <c r="C82" s="274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</row>
    <row r="83" spans="1:15" s="277" customFormat="1" ht="31.5" x14ac:dyDescent="0.25">
      <c r="A83" s="274" t="s">
        <v>317</v>
      </c>
      <c r="B83" s="275" t="s">
        <v>318</v>
      </c>
      <c r="C83" s="274">
        <v>125</v>
      </c>
      <c r="D83" s="276">
        <v>1.1819999999999999</v>
      </c>
      <c r="E83" s="276">
        <v>0.252</v>
      </c>
      <c r="F83" s="276">
        <v>24.756</v>
      </c>
      <c r="G83" s="276">
        <v>106.02</v>
      </c>
      <c r="H83" s="276">
        <v>2.5000000000000001E-2</v>
      </c>
      <c r="I83" s="276">
        <v>3.8</v>
      </c>
      <c r="J83" s="276">
        <v>1.9</v>
      </c>
      <c r="K83" s="276">
        <v>0.22600000000000001</v>
      </c>
      <c r="L83" s="276">
        <v>8.08</v>
      </c>
      <c r="M83" s="276">
        <v>12.68</v>
      </c>
      <c r="N83" s="276">
        <v>5.22</v>
      </c>
      <c r="O83" s="276">
        <v>0.97799999999999998</v>
      </c>
    </row>
    <row r="84" spans="1:15" s="277" customFormat="1" x14ac:dyDescent="0.25">
      <c r="A84" s="274" t="s">
        <v>204</v>
      </c>
      <c r="B84" s="275" t="s">
        <v>219</v>
      </c>
      <c r="C84" s="274">
        <v>125</v>
      </c>
      <c r="D84" s="276">
        <v>3.375</v>
      </c>
      <c r="E84" s="276">
        <v>3.125</v>
      </c>
      <c r="F84" s="276">
        <v>13.5</v>
      </c>
      <c r="G84" s="276">
        <v>98.75</v>
      </c>
      <c r="H84" s="276">
        <v>3.7999999999999999E-2</v>
      </c>
      <c r="I84" s="276">
        <v>1.125</v>
      </c>
      <c r="J84" s="276">
        <v>25</v>
      </c>
      <c r="K84" s="276"/>
      <c r="L84" s="276">
        <v>151.25</v>
      </c>
      <c r="M84" s="276">
        <v>117.5</v>
      </c>
      <c r="N84" s="276">
        <v>18.75</v>
      </c>
      <c r="O84" s="276">
        <v>0.125</v>
      </c>
    </row>
    <row r="85" spans="1:15" s="277" customFormat="1" x14ac:dyDescent="0.25">
      <c r="A85" s="274" t="s">
        <v>25</v>
      </c>
      <c r="B85" s="275"/>
      <c r="C85" s="274">
        <v>250</v>
      </c>
      <c r="D85" s="276">
        <v>4.5570000000000004</v>
      </c>
      <c r="E85" s="276">
        <v>3.3769999999999998</v>
      </c>
      <c r="F85" s="276">
        <v>38.256</v>
      </c>
      <c r="G85" s="276">
        <v>204.77</v>
      </c>
      <c r="H85" s="276">
        <v>6.3E-2</v>
      </c>
      <c r="I85" s="276">
        <v>4.9249999999999998</v>
      </c>
      <c r="J85" s="276">
        <v>26.9</v>
      </c>
      <c r="K85" s="276">
        <v>0.22600000000000001</v>
      </c>
      <c r="L85" s="276">
        <v>159.33000000000001</v>
      </c>
      <c r="M85" s="276">
        <v>130.18</v>
      </c>
      <c r="N85" s="276">
        <v>23.97</v>
      </c>
      <c r="O85" s="276">
        <v>1.103</v>
      </c>
    </row>
    <row r="86" spans="1:15" s="277" customFormat="1" x14ac:dyDescent="0.25">
      <c r="A86" s="274" t="s">
        <v>30</v>
      </c>
      <c r="B86" s="275"/>
      <c r="C86" s="278">
        <v>1880</v>
      </c>
      <c r="D86" s="280">
        <v>79.290999999999997</v>
      </c>
      <c r="E86" s="280">
        <v>57.936</v>
      </c>
      <c r="F86" s="280">
        <v>303.20999999999998</v>
      </c>
      <c r="G86" s="280">
        <v>2062.98</v>
      </c>
      <c r="H86" s="280">
        <v>0.93100000000000005</v>
      </c>
      <c r="I86" s="280">
        <v>100.36199999999999</v>
      </c>
      <c r="J86" s="280">
        <v>1338.95</v>
      </c>
      <c r="K86" s="280">
        <v>8.7050000000000001</v>
      </c>
      <c r="L86" s="280">
        <v>890.40300000000002</v>
      </c>
      <c r="M86" s="280">
        <v>1180.4280000000001</v>
      </c>
      <c r="N86" s="280">
        <v>285.791</v>
      </c>
      <c r="O86" s="280">
        <v>11.552</v>
      </c>
    </row>
    <row r="87" spans="1:15" s="277" customFormat="1" x14ac:dyDescent="0.25">
      <c r="A87" s="274" t="s">
        <v>31</v>
      </c>
      <c r="B87" s="275"/>
      <c r="C87" s="274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</row>
    <row r="88" spans="1:15" s="277" customFormat="1" ht="31.5" x14ac:dyDescent="0.25">
      <c r="A88" s="274" t="s">
        <v>0</v>
      </c>
      <c r="B88" s="275" t="s">
        <v>1</v>
      </c>
      <c r="C88" s="274" t="s">
        <v>2</v>
      </c>
      <c r="D88" s="276" t="s">
        <v>3</v>
      </c>
      <c r="E88" s="276"/>
      <c r="F88" s="276"/>
      <c r="G88" s="276" t="s">
        <v>4</v>
      </c>
      <c r="H88" s="276" t="s">
        <v>5</v>
      </c>
      <c r="I88" s="276"/>
      <c r="J88" s="276"/>
      <c r="K88" s="276"/>
      <c r="L88" s="276" t="s">
        <v>6</v>
      </c>
      <c r="M88" s="276"/>
      <c r="N88" s="276"/>
      <c r="O88" s="276"/>
    </row>
    <row r="89" spans="1:15" s="277" customFormat="1" x14ac:dyDescent="0.25">
      <c r="A89" s="274"/>
      <c r="B89" s="275"/>
      <c r="C89" s="274"/>
      <c r="D89" s="276" t="s">
        <v>7</v>
      </c>
      <c r="E89" s="276" t="s">
        <v>8</v>
      </c>
      <c r="F89" s="276" t="s">
        <v>9</v>
      </c>
      <c r="G89" s="276"/>
      <c r="H89" s="276" t="s">
        <v>10</v>
      </c>
      <c r="I89" s="276" t="s">
        <v>11</v>
      </c>
      <c r="J89" s="276" t="s">
        <v>12</v>
      </c>
      <c r="K89" s="276" t="s">
        <v>13</v>
      </c>
      <c r="L89" s="276" t="s">
        <v>14</v>
      </c>
      <c r="M89" s="276" t="s">
        <v>15</v>
      </c>
      <c r="N89" s="276" t="s">
        <v>16</v>
      </c>
      <c r="O89" s="276" t="s">
        <v>17</v>
      </c>
    </row>
    <row r="90" spans="1:15" s="277" customFormat="1" x14ac:dyDescent="0.25">
      <c r="A90" s="274" t="s">
        <v>18</v>
      </c>
      <c r="B90" s="275"/>
      <c r="C90" s="274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</row>
    <row r="91" spans="1:15" s="277" customFormat="1" x14ac:dyDescent="0.25">
      <c r="A91" s="274" t="s">
        <v>323</v>
      </c>
      <c r="B91" s="275" t="s">
        <v>236</v>
      </c>
      <c r="C91" s="274">
        <v>60</v>
      </c>
      <c r="D91" s="276">
        <v>0.85499999999999998</v>
      </c>
      <c r="E91" s="276">
        <v>3.0539999999999998</v>
      </c>
      <c r="F91" s="276">
        <v>5.016</v>
      </c>
      <c r="G91" s="276">
        <v>50.912999999999997</v>
      </c>
      <c r="H91" s="276">
        <v>1.0999999999999999E-2</v>
      </c>
      <c r="I91" s="276">
        <v>5.7</v>
      </c>
      <c r="J91" s="276"/>
      <c r="K91" s="276">
        <v>1.377</v>
      </c>
      <c r="L91" s="276">
        <v>21.09</v>
      </c>
      <c r="M91" s="276">
        <v>24.57</v>
      </c>
      <c r="N91" s="276">
        <v>12.54</v>
      </c>
      <c r="O91" s="276">
        <v>0.79800000000000004</v>
      </c>
    </row>
    <row r="92" spans="1:15" s="277" customFormat="1" ht="31.5" x14ac:dyDescent="0.25">
      <c r="A92" s="274" t="s">
        <v>324</v>
      </c>
      <c r="B92" s="275" t="s">
        <v>325</v>
      </c>
      <c r="C92" s="274">
        <v>110</v>
      </c>
      <c r="D92" s="276">
        <v>15.936</v>
      </c>
      <c r="E92" s="276">
        <v>13.597</v>
      </c>
      <c r="F92" s="276">
        <v>7.6280000000000001</v>
      </c>
      <c r="G92" s="276">
        <v>217.374</v>
      </c>
      <c r="H92" s="276">
        <v>0.161</v>
      </c>
      <c r="I92" s="276">
        <v>2.0139999999999998</v>
      </c>
      <c r="J92" s="276">
        <v>81.122</v>
      </c>
      <c r="K92" s="276">
        <v>0.54800000000000004</v>
      </c>
      <c r="L92" s="276">
        <v>127.77</v>
      </c>
      <c r="M92" s="276">
        <v>268.80599999999998</v>
      </c>
      <c r="N92" s="276">
        <v>54.11</v>
      </c>
      <c r="O92" s="276">
        <v>1.0049999999999999</v>
      </c>
    </row>
    <row r="93" spans="1:15" s="277" customFormat="1" x14ac:dyDescent="0.25">
      <c r="A93" s="274" t="s">
        <v>310</v>
      </c>
      <c r="B93" s="275" t="s">
        <v>106</v>
      </c>
      <c r="C93" s="274">
        <v>150</v>
      </c>
      <c r="D93" s="276">
        <v>3.2789999999999999</v>
      </c>
      <c r="E93" s="276">
        <v>3.9910000000000001</v>
      </c>
      <c r="F93" s="276">
        <v>22.183</v>
      </c>
      <c r="G93" s="276">
        <v>138.18600000000001</v>
      </c>
      <c r="H93" s="276">
        <v>0.16</v>
      </c>
      <c r="I93" s="276">
        <v>25.937999999999999</v>
      </c>
      <c r="J93" s="276">
        <v>18.3</v>
      </c>
      <c r="K93" s="276">
        <v>0.16900000000000001</v>
      </c>
      <c r="L93" s="276">
        <v>45.14</v>
      </c>
      <c r="M93" s="276">
        <v>97.47</v>
      </c>
      <c r="N93" s="276">
        <v>33.11</v>
      </c>
      <c r="O93" s="276">
        <v>1.2210000000000001</v>
      </c>
    </row>
    <row r="94" spans="1:15" s="277" customFormat="1" x14ac:dyDescent="0.25">
      <c r="A94" s="274">
        <v>0</v>
      </c>
      <c r="B94" s="275" t="s">
        <v>84</v>
      </c>
      <c r="C94" s="274">
        <v>25</v>
      </c>
      <c r="D94" s="276">
        <v>1.9750000000000001</v>
      </c>
      <c r="E94" s="276">
        <v>0.25</v>
      </c>
      <c r="F94" s="276">
        <v>12.074999999999999</v>
      </c>
      <c r="G94" s="276">
        <v>58.75</v>
      </c>
      <c r="H94" s="276">
        <v>0.04</v>
      </c>
      <c r="I94" s="276"/>
      <c r="J94" s="276"/>
      <c r="K94" s="276">
        <v>0.32500000000000001</v>
      </c>
      <c r="L94" s="276">
        <v>5.75</v>
      </c>
      <c r="M94" s="276">
        <v>21.75</v>
      </c>
      <c r="N94" s="276">
        <v>8.25</v>
      </c>
      <c r="O94" s="276">
        <v>0.5</v>
      </c>
    </row>
    <row r="95" spans="1:15" s="277" customFormat="1" x14ac:dyDescent="0.25">
      <c r="A95" s="274" t="s">
        <v>376</v>
      </c>
      <c r="B95" s="275" t="s">
        <v>142</v>
      </c>
      <c r="C95" s="274">
        <v>180</v>
      </c>
      <c r="D95" s="276"/>
      <c r="E95" s="276"/>
      <c r="F95" s="276">
        <v>7.9870000000000001</v>
      </c>
      <c r="G95" s="276">
        <v>31.931999999999999</v>
      </c>
      <c r="H95" s="276">
        <v>1E-3</v>
      </c>
      <c r="I95" s="276">
        <v>0.1</v>
      </c>
      <c r="J95" s="276"/>
      <c r="K95" s="276"/>
      <c r="L95" s="276">
        <v>4.95</v>
      </c>
      <c r="M95" s="276">
        <v>8.24</v>
      </c>
      <c r="N95" s="276">
        <v>4.4000000000000004</v>
      </c>
      <c r="O95" s="276">
        <v>0.84399999999999997</v>
      </c>
    </row>
    <row r="96" spans="1:15" s="277" customFormat="1" x14ac:dyDescent="0.25">
      <c r="A96" s="274"/>
      <c r="B96" s="275" t="s">
        <v>126</v>
      </c>
      <c r="C96" s="274">
        <v>50</v>
      </c>
      <c r="D96" s="276">
        <v>3.2890000000000001</v>
      </c>
      <c r="E96" s="276">
        <v>4.3920000000000003</v>
      </c>
      <c r="F96" s="276">
        <v>24.071999999999999</v>
      </c>
      <c r="G96" s="276">
        <v>149.32499999999999</v>
      </c>
      <c r="H96" s="276">
        <v>0.21199999999999999</v>
      </c>
      <c r="I96" s="276">
        <v>1.59</v>
      </c>
      <c r="J96" s="276">
        <v>22.25</v>
      </c>
      <c r="K96" s="276">
        <v>0.46300000000000002</v>
      </c>
      <c r="L96" s="276">
        <v>26.19</v>
      </c>
      <c r="M96" s="276">
        <v>38.58</v>
      </c>
      <c r="N96" s="276">
        <v>7.53</v>
      </c>
      <c r="O96" s="276">
        <v>0.67300000000000004</v>
      </c>
    </row>
    <row r="97" spans="1:15" s="277" customFormat="1" x14ac:dyDescent="0.25">
      <c r="A97" s="274" t="s">
        <v>19</v>
      </c>
      <c r="B97" s="275"/>
      <c r="C97" s="274">
        <f>SUM(C91:C96)</f>
        <v>575</v>
      </c>
      <c r="D97" s="276">
        <v>25.334</v>
      </c>
      <c r="E97" s="276">
        <v>25.283000000000001</v>
      </c>
      <c r="F97" s="276">
        <v>78.960999999999999</v>
      </c>
      <c r="G97" s="276">
        <v>646.48</v>
      </c>
      <c r="H97" s="276">
        <v>0.58499999999999996</v>
      </c>
      <c r="I97" s="276">
        <v>35.341999999999999</v>
      </c>
      <c r="J97" s="276">
        <v>121.672</v>
      </c>
      <c r="K97" s="276">
        <v>2.8820000000000001</v>
      </c>
      <c r="L97" s="276">
        <v>230.89</v>
      </c>
      <c r="M97" s="276">
        <v>459.416</v>
      </c>
      <c r="N97" s="276">
        <v>119.94</v>
      </c>
      <c r="O97" s="276">
        <v>5.0410000000000004</v>
      </c>
    </row>
    <row r="98" spans="1:15" s="277" customFormat="1" x14ac:dyDescent="0.25">
      <c r="A98" s="274" t="s">
        <v>20</v>
      </c>
      <c r="B98" s="275"/>
      <c r="C98" s="274"/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</row>
    <row r="99" spans="1:15" s="277" customFormat="1" x14ac:dyDescent="0.25">
      <c r="A99" s="274" t="s">
        <v>326</v>
      </c>
      <c r="B99" s="275" t="s">
        <v>239</v>
      </c>
      <c r="C99" s="274">
        <v>125</v>
      </c>
      <c r="D99" s="276">
        <v>6.2140000000000004</v>
      </c>
      <c r="E99" s="276">
        <v>2.3660000000000001</v>
      </c>
      <c r="F99" s="276">
        <v>13.522</v>
      </c>
      <c r="G99" s="276">
        <v>100.238</v>
      </c>
      <c r="H99" s="276">
        <v>1.9E-2</v>
      </c>
      <c r="I99" s="276">
        <v>0.56399999999999995</v>
      </c>
      <c r="J99" s="276">
        <v>9.4</v>
      </c>
      <c r="K99" s="276"/>
      <c r="L99" s="276">
        <v>112.8</v>
      </c>
      <c r="M99" s="276">
        <v>84.6</v>
      </c>
      <c r="N99" s="276">
        <v>13.16</v>
      </c>
      <c r="O99" s="276">
        <v>0.121</v>
      </c>
    </row>
    <row r="100" spans="1:15" s="277" customFormat="1" x14ac:dyDescent="0.25">
      <c r="A100" s="274" t="s">
        <v>204</v>
      </c>
      <c r="B100" s="275" t="s">
        <v>219</v>
      </c>
      <c r="C100" s="274">
        <v>125</v>
      </c>
      <c r="D100" s="276">
        <v>3.375</v>
      </c>
      <c r="E100" s="276">
        <v>3.125</v>
      </c>
      <c r="F100" s="276">
        <v>13.5</v>
      </c>
      <c r="G100" s="276">
        <v>98.75</v>
      </c>
      <c r="H100" s="276">
        <v>3.7999999999999999E-2</v>
      </c>
      <c r="I100" s="276">
        <v>1.125</v>
      </c>
      <c r="J100" s="276">
        <v>25</v>
      </c>
      <c r="K100" s="276"/>
      <c r="L100" s="276">
        <v>151.25</v>
      </c>
      <c r="M100" s="276">
        <v>117.5</v>
      </c>
      <c r="N100" s="276">
        <v>18.75</v>
      </c>
      <c r="O100" s="276">
        <v>0.125</v>
      </c>
    </row>
    <row r="101" spans="1:15" s="277" customFormat="1" x14ac:dyDescent="0.25">
      <c r="A101" s="274" t="s">
        <v>21</v>
      </c>
      <c r="B101" s="275"/>
      <c r="C101" s="274">
        <v>250</v>
      </c>
      <c r="D101" s="276">
        <v>9.5890000000000004</v>
      </c>
      <c r="E101" s="276">
        <v>5.4909999999999997</v>
      </c>
      <c r="F101" s="276">
        <v>27.021999999999998</v>
      </c>
      <c r="G101" s="276">
        <v>198.988</v>
      </c>
      <c r="H101" s="276">
        <v>5.6000000000000001E-2</v>
      </c>
      <c r="I101" s="276">
        <v>1.6890000000000001</v>
      </c>
      <c r="J101" s="276">
        <v>34.4</v>
      </c>
      <c r="K101" s="276"/>
      <c r="L101" s="276">
        <v>264.05</v>
      </c>
      <c r="M101" s="276">
        <v>202.1</v>
      </c>
      <c r="N101" s="276">
        <v>31.91</v>
      </c>
      <c r="O101" s="276">
        <v>0.246</v>
      </c>
    </row>
    <row r="102" spans="1:15" s="277" customFormat="1" x14ac:dyDescent="0.25">
      <c r="A102" s="274" t="s">
        <v>22</v>
      </c>
      <c r="B102" s="275"/>
      <c r="C102" s="274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</row>
    <row r="103" spans="1:15" s="277" customFormat="1" x14ac:dyDescent="0.25">
      <c r="A103" s="274" t="s">
        <v>327</v>
      </c>
      <c r="B103" s="275" t="s">
        <v>328</v>
      </c>
      <c r="C103" s="274">
        <v>240</v>
      </c>
      <c r="D103" s="276">
        <v>2.3959999999999999</v>
      </c>
      <c r="E103" s="276">
        <v>2.2639999999999998</v>
      </c>
      <c r="F103" s="276">
        <v>11.263999999999999</v>
      </c>
      <c r="G103" s="276">
        <v>75.677999999999997</v>
      </c>
      <c r="H103" s="276">
        <v>9.2999999999999999E-2</v>
      </c>
      <c r="I103" s="276">
        <v>15.194000000000001</v>
      </c>
      <c r="J103" s="276">
        <v>290.39999999999998</v>
      </c>
      <c r="K103" s="276">
        <v>0.214</v>
      </c>
      <c r="L103" s="276">
        <v>51.23</v>
      </c>
      <c r="M103" s="276">
        <v>60.35</v>
      </c>
      <c r="N103" s="276">
        <v>19.597999999999999</v>
      </c>
      <c r="O103" s="276">
        <v>0.61699999999999999</v>
      </c>
    </row>
    <row r="104" spans="1:15" s="277" customFormat="1" x14ac:dyDescent="0.25">
      <c r="A104" s="274"/>
      <c r="B104" s="275" t="s">
        <v>329</v>
      </c>
      <c r="C104" s="274">
        <v>10</v>
      </c>
      <c r="D104" s="276">
        <v>0.27</v>
      </c>
      <c r="E104" s="276">
        <v>1</v>
      </c>
      <c r="F104" s="276">
        <v>0.39</v>
      </c>
      <c r="G104" s="276">
        <v>11.9</v>
      </c>
      <c r="H104" s="276">
        <v>3.0000000000000001E-3</v>
      </c>
      <c r="I104" s="276">
        <v>0.05</v>
      </c>
      <c r="J104" s="276">
        <v>6.5</v>
      </c>
      <c r="K104" s="276">
        <v>0.03</v>
      </c>
      <c r="L104" s="276">
        <v>9</v>
      </c>
      <c r="M104" s="276">
        <v>6.2</v>
      </c>
      <c r="N104" s="276">
        <v>1</v>
      </c>
      <c r="O104" s="276">
        <v>0.01</v>
      </c>
    </row>
    <row r="105" spans="1:15" s="277" customFormat="1" x14ac:dyDescent="0.25">
      <c r="A105" s="274" t="s">
        <v>330</v>
      </c>
      <c r="B105" s="275" t="s">
        <v>331</v>
      </c>
      <c r="C105" s="274">
        <v>90</v>
      </c>
      <c r="D105" s="276">
        <v>24.99</v>
      </c>
      <c r="E105" s="276">
        <v>9.9459999999999997</v>
      </c>
      <c r="F105" s="276"/>
      <c r="G105" s="276">
        <v>190.66399999999999</v>
      </c>
      <c r="H105" s="276">
        <v>0.107</v>
      </c>
      <c r="I105" s="276">
        <v>2.38</v>
      </c>
      <c r="J105" s="276">
        <v>47.6</v>
      </c>
      <c r="K105" s="276">
        <v>2.117</v>
      </c>
      <c r="L105" s="276">
        <v>24.02</v>
      </c>
      <c r="M105" s="276">
        <v>191.98</v>
      </c>
      <c r="N105" s="276">
        <v>23.05</v>
      </c>
      <c r="O105" s="276">
        <v>1.605</v>
      </c>
    </row>
    <row r="106" spans="1:15" s="277" customFormat="1" x14ac:dyDescent="0.25">
      <c r="A106" s="274" t="s">
        <v>332</v>
      </c>
      <c r="B106" s="275" t="s">
        <v>129</v>
      </c>
      <c r="C106" s="274">
        <v>150</v>
      </c>
      <c r="D106" s="276">
        <v>3.0129999999999999</v>
      </c>
      <c r="E106" s="276">
        <v>8.173</v>
      </c>
      <c r="F106" s="276">
        <v>16.256</v>
      </c>
      <c r="G106" s="276">
        <v>151.88800000000001</v>
      </c>
      <c r="H106" s="276">
        <v>0.127</v>
      </c>
      <c r="I106" s="276">
        <v>32.06</v>
      </c>
      <c r="J106" s="276">
        <v>487.8</v>
      </c>
      <c r="K106" s="276">
        <v>1.6639999999999999</v>
      </c>
      <c r="L106" s="276">
        <v>49.119</v>
      </c>
      <c r="M106" s="276">
        <v>76.659000000000006</v>
      </c>
      <c r="N106" s="276">
        <v>31.622</v>
      </c>
      <c r="O106" s="276">
        <v>1.0760000000000001</v>
      </c>
    </row>
    <row r="107" spans="1:15" s="277" customFormat="1" x14ac:dyDescent="0.25">
      <c r="A107" s="274">
        <v>0</v>
      </c>
      <c r="B107" s="275" t="s">
        <v>360</v>
      </c>
      <c r="C107" s="274">
        <v>150</v>
      </c>
      <c r="D107" s="276">
        <v>0.6</v>
      </c>
      <c r="E107" s="276">
        <v>0.45</v>
      </c>
      <c r="F107" s="276">
        <v>15.45</v>
      </c>
      <c r="G107" s="276">
        <v>70.5</v>
      </c>
      <c r="H107" s="276">
        <v>0.03</v>
      </c>
      <c r="I107" s="276">
        <v>7.5</v>
      </c>
      <c r="J107" s="276"/>
      <c r="K107" s="276">
        <v>0.6</v>
      </c>
      <c r="L107" s="276">
        <v>28.5</v>
      </c>
      <c r="M107" s="276">
        <v>24</v>
      </c>
      <c r="N107" s="276">
        <v>18</v>
      </c>
      <c r="O107" s="276">
        <v>3.45</v>
      </c>
    </row>
    <row r="108" spans="1:15" s="277" customFormat="1" x14ac:dyDescent="0.25">
      <c r="A108" s="274" t="s">
        <v>377</v>
      </c>
      <c r="B108" s="275" t="s">
        <v>272</v>
      </c>
      <c r="C108" s="274">
        <v>180</v>
      </c>
      <c r="D108" s="276">
        <v>0.94399999999999995</v>
      </c>
      <c r="E108" s="276">
        <v>5.3999999999999999E-2</v>
      </c>
      <c r="F108" s="276">
        <v>23.42</v>
      </c>
      <c r="G108" s="276">
        <v>98.72</v>
      </c>
      <c r="H108" s="276">
        <v>1.7999999999999999E-2</v>
      </c>
      <c r="I108" s="276">
        <v>0.72</v>
      </c>
      <c r="J108" s="276">
        <v>104.94</v>
      </c>
      <c r="K108" s="276">
        <v>0.99</v>
      </c>
      <c r="L108" s="276">
        <v>32</v>
      </c>
      <c r="M108" s="276">
        <v>32.44</v>
      </c>
      <c r="N108" s="276">
        <v>18.899999999999999</v>
      </c>
      <c r="O108" s="276">
        <v>0.6</v>
      </c>
    </row>
    <row r="109" spans="1:15" s="277" customFormat="1" x14ac:dyDescent="0.25">
      <c r="A109" s="274">
        <v>0</v>
      </c>
      <c r="B109" s="275" t="s">
        <v>84</v>
      </c>
      <c r="C109" s="274">
        <v>50</v>
      </c>
      <c r="D109" s="276">
        <v>3.95</v>
      </c>
      <c r="E109" s="276">
        <v>0.5</v>
      </c>
      <c r="F109" s="276">
        <v>24.15</v>
      </c>
      <c r="G109" s="276">
        <v>117.5</v>
      </c>
      <c r="H109" s="276">
        <v>0.08</v>
      </c>
      <c r="I109" s="276"/>
      <c r="J109" s="276"/>
      <c r="K109" s="276">
        <v>0.65</v>
      </c>
      <c r="L109" s="276">
        <v>11.5</v>
      </c>
      <c r="M109" s="276">
        <v>43.5</v>
      </c>
      <c r="N109" s="276">
        <v>16.5</v>
      </c>
      <c r="O109" s="276">
        <v>1</v>
      </c>
    </row>
    <row r="110" spans="1:15" s="277" customFormat="1" x14ac:dyDescent="0.25">
      <c r="A110" s="274" t="s">
        <v>23</v>
      </c>
      <c r="B110" s="275"/>
      <c r="C110" s="274">
        <v>870</v>
      </c>
      <c r="D110" s="276">
        <v>36.162999999999997</v>
      </c>
      <c r="E110" s="276">
        <v>22.387</v>
      </c>
      <c r="F110" s="276">
        <v>90.93</v>
      </c>
      <c r="G110" s="276">
        <v>716.85</v>
      </c>
      <c r="H110" s="276">
        <v>0.45800000000000002</v>
      </c>
      <c r="I110" s="276">
        <v>57.904000000000003</v>
      </c>
      <c r="J110" s="276">
        <v>937.24</v>
      </c>
      <c r="K110" s="276">
        <v>6.2649999999999997</v>
      </c>
      <c r="L110" s="276">
        <v>205.369</v>
      </c>
      <c r="M110" s="276">
        <v>435.12900000000002</v>
      </c>
      <c r="N110" s="276">
        <v>128.66999999999999</v>
      </c>
      <c r="O110" s="276">
        <v>8.3580000000000005</v>
      </c>
    </row>
    <row r="111" spans="1:15" s="277" customFormat="1" x14ac:dyDescent="0.25">
      <c r="A111" s="274" t="s">
        <v>24</v>
      </c>
      <c r="B111" s="275"/>
      <c r="C111" s="274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</row>
    <row r="112" spans="1:15" s="277" customFormat="1" x14ac:dyDescent="0.25">
      <c r="A112" s="274" t="s">
        <v>326</v>
      </c>
      <c r="B112" s="275" t="s">
        <v>239</v>
      </c>
      <c r="C112" s="274">
        <v>125</v>
      </c>
      <c r="D112" s="276">
        <v>6.2140000000000004</v>
      </c>
      <c r="E112" s="276">
        <v>2.3660000000000001</v>
      </c>
      <c r="F112" s="276">
        <v>13.522</v>
      </c>
      <c r="G112" s="276">
        <v>100.238</v>
      </c>
      <c r="H112" s="276">
        <v>1.9E-2</v>
      </c>
      <c r="I112" s="276">
        <v>0.56399999999999995</v>
      </c>
      <c r="J112" s="276">
        <v>9.4</v>
      </c>
      <c r="K112" s="276"/>
      <c r="L112" s="276">
        <v>112.8</v>
      </c>
      <c r="M112" s="276">
        <v>84.6</v>
      </c>
      <c r="N112" s="276">
        <v>13.16</v>
      </c>
      <c r="O112" s="276">
        <v>0.121</v>
      </c>
    </row>
    <row r="113" spans="1:15" s="277" customFormat="1" x14ac:dyDescent="0.25">
      <c r="A113" s="274" t="s">
        <v>204</v>
      </c>
      <c r="B113" s="275" t="s">
        <v>219</v>
      </c>
      <c r="C113" s="274">
        <v>125</v>
      </c>
      <c r="D113" s="276">
        <v>3.375</v>
      </c>
      <c r="E113" s="276">
        <v>3.125</v>
      </c>
      <c r="F113" s="276">
        <v>13.5</v>
      </c>
      <c r="G113" s="276">
        <v>98.75</v>
      </c>
      <c r="H113" s="276">
        <v>3.7999999999999999E-2</v>
      </c>
      <c r="I113" s="276">
        <v>1.125</v>
      </c>
      <c r="J113" s="276">
        <v>25</v>
      </c>
      <c r="K113" s="276"/>
      <c r="L113" s="276">
        <v>151.25</v>
      </c>
      <c r="M113" s="276">
        <v>117.5</v>
      </c>
      <c r="N113" s="276">
        <v>18.75</v>
      </c>
      <c r="O113" s="276">
        <v>0.125</v>
      </c>
    </row>
    <row r="114" spans="1:15" s="277" customFormat="1" x14ac:dyDescent="0.25">
      <c r="A114" s="274" t="s">
        <v>25</v>
      </c>
      <c r="B114" s="275"/>
      <c r="C114" s="274">
        <v>250</v>
      </c>
      <c r="D114" s="276">
        <v>9.5890000000000004</v>
      </c>
      <c r="E114" s="276">
        <v>5.4909999999999997</v>
      </c>
      <c r="F114" s="276">
        <v>27.021999999999998</v>
      </c>
      <c r="G114" s="276">
        <v>198.988</v>
      </c>
      <c r="H114" s="276">
        <v>5.6000000000000001E-2</v>
      </c>
      <c r="I114" s="276">
        <v>1.6890000000000001</v>
      </c>
      <c r="J114" s="276">
        <v>34.4</v>
      </c>
      <c r="K114" s="276"/>
      <c r="L114" s="276">
        <v>264.05</v>
      </c>
      <c r="M114" s="276">
        <v>202.1</v>
      </c>
      <c r="N114" s="276">
        <v>31.91</v>
      </c>
      <c r="O114" s="276">
        <v>0.246</v>
      </c>
    </row>
    <row r="115" spans="1:15" s="277" customFormat="1" x14ac:dyDescent="0.25">
      <c r="A115" s="274" t="s">
        <v>32</v>
      </c>
      <c r="B115" s="275"/>
      <c r="C115" s="274">
        <f>C114+C110+C101+C97</f>
        <v>1945</v>
      </c>
      <c r="D115" s="276">
        <f t="shared" ref="D115:O115" si="4">D114+D110+D101+D97</f>
        <v>80.674999999999997</v>
      </c>
      <c r="E115" s="276">
        <f t="shared" si="4"/>
        <v>58.652000000000001</v>
      </c>
      <c r="F115" s="276">
        <f t="shared" si="4"/>
        <v>223.935</v>
      </c>
      <c r="G115" s="276">
        <f t="shared" si="4"/>
        <v>1761.306</v>
      </c>
      <c r="H115" s="276">
        <f t="shared" si="4"/>
        <v>1.155</v>
      </c>
      <c r="I115" s="276">
        <f t="shared" si="4"/>
        <v>96.623999999999995</v>
      </c>
      <c r="J115" s="276">
        <f t="shared" si="4"/>
        <v>1127.712</v>
      </c>
      <c r="K115" s="276">
        <f t="shared" si="4"/>
        <v>9.1470000000000002</v>
      </c>
      <c r="L115" s="276">
        <f t="shared" si="4"/>
        <v>964.35900000000004</v>
      </c>
      <c r="M115" s="276">
        <f t="shared" si="4"/>
        <v>1298.7450000000001</v>
      </c>
      <c r="N115" s="276">
        <f t="shared" si="4"/>
        <v>312.42999999999995</v>
      </c>
      <c r="O115" s="276">
        <f t="shared" si="4"/>
        <v>13.891000000000002</v>
      </c>
    </row>
    <row r="116" spans="1:15" s="277" customFormat="1" x14ac:dyDescent="0.25">
      <c r="A116" s="274" t="s">
        <v>33</v>
      </c>
      <c r="B116" s="275"/>
      <c r="C116" s="274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</row>
    <row r="117" spans="1:15" s="277" customFormat="1" ht="31.5" x14ac:dyDescent="0.25">
      <c r="A117" s="274" t="s">
        <v>0</v>
      </c>
      <c r="B117" s="275" t="s">
        <v>1</v>
      </c>
      <c r="C117" s="274" t="s">
        <v>2</v>
      </c>
      <c r="D117" s="276" t="s">
        <v>3</v>
      </c>
      <c r="E117" s="276"/>
      <c r="F117" s="276"/>
      <c r="G117" s="276" t="s">
        <v>4</v>
      </c>
      <c r="H117" s="276" t="s">
        <v>5</v>
      </c>
      <c r="I117" s="276"/>
      <c r="J117" s="276"/>
      <c r="K117" s="276"/>
      <c r="L117" s="276" t="s">
        <v>6</v>
      </c>
      <c r="M117" s="276"/>
      <c r="N117" s="276"/>
      <c r="O117" s="276"/>
    </row>
    <row r="118" spans="1:15" s="277" customFormat="1" x14ac:dyDescent="0.25">
      <c r="A118" s="274"/>
      <c r="B118" s="275"/>
      <c r="C118" s="274"/>
      <c r="D118" s="276" t="s">
        <v>7</v>
      </c>
      <c r="E118" s="276" t="s">
        <v>8</v>
      </c>
      <c r="F118" s="276" t="s">
        <v>9</v>
      </c>
      <c r="G118" s="276"/>
      <c r="H118" s="276" t="s">
        <v>10</v>
      </c>
      <c r="I118" s="276" t="s">
        <v>11</v>
      </c>
      <c r="J118" s="276" t="s">
        <v>12</v>
      </c>
      <c r="K118" s="276" t="s">
        <v>13</v>
      </c>
      <c r="L118" s="276" t="s">
        <v>14</v>
      </c>
      <c r="M118" s="276" t="s">
        <v>15</v>
      </c>
      <c r="N118" s="276" t="s">
        <v>16</v>
      </c>
      <c r="O118" s="276" t="s">
        <v>17</v>
      </c>
    </row>
    <row r="119" spans="1:15" s="277" customFormat="1" x14ac:dyDescent="0.25">
      <c r="A119" s="274" t="s">
        <v>18</v>
      </c>
      <c r="B119" s="275"/>
      <c r="C119" s="274"/>
      <c r="D119" s="276"/>
      <c r="E119" s="276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</row>
    <row r="120" spans="1:15" s="277" customFormat="1" ht="31.5" x14ac:dyDescent="0.25">
      <c r="A120" s="274"/>
      <c r="B120" s="275" t="s">
        <v>303</v>
      </c>
      <c r="C120" s="274">
        <v>60</v>
      </c>
      <c r="D120" s="276">
        <v>0.42</v>
      </c>
      <c r="E120" s="276">
        <v>0.06</v>
      </c>
      <c r="F120" s="276">
        <v>1.1399999999999999</v>
      </c>
      <c r="G120" s="276">
        <v>6.6</v>
      </c>
      <c r="H120" s="276">
        <v>1.7999999999999999E-2</v>
      </c>
      <c r="I120" s="276">
        <v>4.2</v>
      </c>
      <c r="J120" s="276"/>
      <c r="K120" s="276">
        <v>0.06</v>
      </c>
      <c r="L120" s="276">
        <v>10.199999999999999</v>
      </c>
      <c r="M120" s="276">
        <v>18</v>
      </c>
      <c r="N120" s="276">
        <v>8.4</v>
      </c>
      <c r="O120" s="276">
        <v>0.3</v>
      </c>
    </row>
    <row r="121" spans="1:15" s="277" customFormat="1" x14ac:dyDescent="0.25">
      <c r="A121" s="274" t="s">
        <v>288</v>
      </c>
      <c r="B121" s="275" t="s">
        <v>289</v>
      </c>
      <c r="C121" s="274">
        <v>150</v>
      </c>
      <c r="D121" s="276">
        <v>15.887</v>
      </c>
      <c r="E121" s="276">
        <v>20.76</v>
      </c>
      <c r="F121" s="276">
        <v>4.1440000000000001</v>
      </c>
      <c r="G121" s="276">
        <v>267.33100000000002</v>
      </c>
      <c r="H121" s="276">
        <v>9.0999999999999998E-2</v>
      </c>
      <c r="I121" s="276">
        <v>0.40799999999999997</v>
      </c>
      <c r="J121" s="276">
        <v>315.3</v>
      </c>
      <c r="K121" s="276">
        <v>0.74399999999999999</v>
      </c>
      <c r="L121" s="276">
        <v>144.715</v>
      </c>
      <c r="M121" s="276">
        <v>273.38499999999999</v>
      </c>
      <c r="N121" s="276">
        <v>22.66</v>
      </c>
      <c r="O121" s="276">
        <v>2.819</v>
      </c>
    </row>
    <row r="122" spans="1:15" s="277" customFormat="1" ht="31.5" x14ac:dyDescent="0.25">
      <c r="A122" s="274"/>
      <c r="B122" s="275" t="s">
        <v>295</v>
      </c>
      <c r="C122" s="274">
        <v>180</v>
      </c>
      <c r="D122" s="276">
        <v>0.14399999999999999</v>
      </c>
      <c r="E122" s="276">
        <v>0.14399999999999999</v>
      </c>
      <c r="F122" s="276">
        <v>11.512</v>
      </c>
      <c r="G122" s="276">
        <v>48.841000000000001</v>
      </c>
      <c r="H122" s="276">
        <v>1.0999999999999999E-2</v>
      </c>
      <c r="I122" s="276">
        <v>3.609</v>
      </c>
      <c r="J122" s="276">
        <v>1.8</v>
      </c>
      <c r="K122" s="276">
        <v>7.1999999999999995E-2</v>
      </c>
      <c r="L122" s="276">
        <v>6.2060000000000004</v>
      </c>
      <c r="M122" s="276">
        <v>4.702</v>
      </c>
      <c r="N122" s="276">
        <v>3.6360000000000001</v>
      </c>
      <c r="O122" s="276">
        <v>0.89</v>
      </c>
    </row>
    <row r="123" spans="1:15" s="277" customFormat="1" x14ac:dyDescent="0.25">
      <c r="A123" s="274"/>
      <c r="B123" s="275" t="s">
        <v>84</v>
      </c>
      <c r="C123" s="274">
        <v>40</v>
      </c>
      <c r="D123" s="276">
        <v>3.16</v>
      </c>
      <c r="E123" s="276">
        <v>0.4</v>
      </c>
      <c r="F123" s="276">
        <v>19.32</v>
      </c>
      <c r="G123" s="276">
        <v>94</v>
      </c>
      <c r="H123" s="276">
        <v>6.4000000000000001E-2</v>
      </c>
      <c r="I123" s="276"/>
      <c r="J123" s="276"/>
      <c r="K123" s="276">
        <v>0.52</v>
      </c>
      <c r="L123" s="276">
        <v>9.1999999999999993</v>
      </c>
      <c r="M123" s="276">
        <v>34.799999999999997</v>
      </c>
      <c r="N123" s="276">
        <v>13.2</v>
      </c>
      <c r="O123" s="276">
        <v>0.8</v>
      </c>
    </row>
    <row r="124" spans="1:15" s="277" customFormat="1" x14ac:dyDescent="0.25">
      <c r="A124" s="274">
        <v>0</v>
      </c>
      <c r="B124" s="275" t="s">
        <v>360</v>
      </c>
      <c r="C124" s="274">
        <v>120</v>
      </c>
      <c r="D124" s="276">
        <v>0.48</v>
      </c>
      <c r="E124" s="276">
        <v>0.36</v>
      </c>
      <c r="F124" s="276">
        <v>12.36</v>
      </c>
      <c r="G124" s="276">
        <v>56.4</v>
      </c>
      <c r="H124" s="276">
        <v>2.4E-2</v>
      </c>
      <c r="I124" s="276">
        <v>6</v>
      </c>
      <c r="J124" s="276"/>
      <c r="K124" s="276">
        <v>0.48</v>
      </c>
      <c r="L124" s="276">
        <v>22.8</v>
      </c>
      <c r="M124" s="276">
        <v>19.2</v>
      </c>
      <c r="N124" s="276">
        <v>14.4</v>
      </c>
      <c r="O124" s="276">
        <v>2.76</v>
      </c>
    </row>
    <row r="125" spans="1:15" s="277" customFormat="1" x14ac:dyDescent="0.25">
      <c r="A125" s="274" t="s">
        <v>19</v>
      </c>
      <c r="B125" s="275"/>
      <c r="C125" s="274">
        <v>550</v>
      </c>
      <c r="D125" s="276">
        <v>20.091000000000001</v>
      </c>
      <c r="E125" s="276">
        <v>21.724</v>
      </c>
      <c r="F125" s="276">
        <v>48.475999999999999</v>
      </c>
      <c r="G125" s="276">
        <v>473.17200000000003</v>
      </c>
      <c r="H125" s="276">
        <v>0.20799999999999999</v>
      </c>
      <c r="I125" s="276">
        <v>14.217000000000001</v>
      </c>
      <c r="J125" s="276">
        <v>317.10000000000002</v>
      </c>
      <c r="K125" s="276">
        <v>1.8759999999999999</v>
      </c>
      <c r="L125" s="276">
        <v>193.12</v>
      </c>
      <c r="M125" s="276">
        <v>350.08600000000001</v>
      </c>
      <c r="N125" s="276">
        <v>62.295999999999999</v>
      </c>
      <c r="O125" s="276">
        <v>7.569</v>
      </c>
    </row>
    <row r="126" spans="1:15" s="277" customFormat="1" x14ac:dyDescent="0.25">
      <c r="A126" s="274" t="s">
        <v>20</v>
      </c>
      <c r="B126" s="275"/>
      <c r="C126" s="274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</row>
    <row r="127" spans="1:15" s="277" customFormat="1" x14ac:dyDescent="0.25">
      <c r="A127" s="274" t="s">
        <v>297</v>
      </c>
      <c r="B127" s="275" t="s">
        <v>202</v>
      </c>
      <c r="C127" s="274">
        <v>125</v>
      </c>
      <c r="D127" s="276">
        <v>19.122</v>
      </c>
      <c r="E127" s="276">
        <v>12.287000000000001</v>
      </c>
      <c r="F127" s="276">
        <v>18.23</v>
      </c>
      <c r="G127" s="276">
        <v>263.59199999999998</v>
      </c>
      <c r="H127" s="276">
        <v>0.121</v>
      </c>
      <c r="I127" s="276">
        <v>0.58799999999999997</v>
      </c>
      <c r="J127" s="276">
        <v>90.75</v>
      </c>
      <c r="K127" s="276">
        <v>0.24299999999999999</v>
      </c>
      <c r="L127" s="276">
        <v>184.37</v>
      </c>
      <c r="M127" s="276">
        <v>248.881</v>
      </c>
      <c r="N127" s="276">
        <v>26.707999999999998</v>
      </c>
      <c r="O127" s="276">
        <v>0.84899999999999998</v>
      </c>
    </row>
    <row r="128" spans="1:15" s="277" customFormat="1" x14ac:dyDescent="0.25">
      <c r="A128" s="274" t="s">
        <v>204</v>
      </c>
      <c r="B128" s="275" t="s">
        <v>219</v>
      </c>
      <c r="C128" s="274">
        <v>125</v>
      </c>
      <c r="D128" s="276">
        <v>3.375</v>
      </c>
      <c r="E128" s="276">
        <v>3.125</v>
      </c>
      <c r="F128" s="276">
        <v>13.5</v>
      </c>
      <c r="G128" s="276">
        <v>98.75</v>
      </c>
      <c r="H128" s="276">
        <v>3.7999999999999999E-2</v>
      </c>
      <c r="I128" s="276">
        <v>1.125</v>
      </c>
      <c r="J128" s="276">
        <v>25</v>
      </c>
      <c r="K128" s="276"/>
      <c r="L128" s="276">
        <v>151.25</v>
      </c>
      <c r="M128" s="276">
        <v>117.5</v>
      </c>
      <c r="N128" s="276">
        <v>18.75</v>
      </c>
      <c r="O128" s="276">
        <v>0.125</v>
      </c>
    </row>
    <row r="129" spans="1:15" s="277" customFormat="1" x14ac:dyDescent="0.25">
      <c r="A129" s="274" t="s">
        <v>21</v>
      </c>
      <c r="B129" s="275"/>
      <c r="C129" s="274">
        <v>250</v>
      </c>
      <c r="D129" s="276">
        <v>22.497</v>
      </c>
      <c r="E129" s="276">
        <v>15.412000000000001</v>
      </c>
      <c r="F129" s="276">
        <v>31.73</v>
      </c>
      <c r="G129" s="276">
        <v>362.34199999999998</v>
      </c>
      <c r="H129" s="276">
        <v>0.159</v>
      </c>
      <c r="I129" s="276">
        <v>1.7130000000000001</v>
      </c>
      <c r="J129" s="276">
        <v>115.75</v>
      </c>
      <c r="K129" s="276">
        <v>0.24299999999999999</v>
      </c>
      <c r="L129" s="276">
        <v>335.62</v>
      </c>
      <c r="M129" s="276">
        <v>366.38099999999997</v>
      </c>
      <c r="N129" s="276">
        <v>45.457999999999998</v>
      </c>
      <c r="O129" s="276">
        <v>0.97399999999999998</v>
      </c>
    </row>
    <row r="130" spans="1:15" s="277" customFormat="1" x14ac:dyDescent="0.25">
      <c r="A130" s="274" t="s">
        <v>22</v>
      </c>
      <c r="B130" s="275"/>
      <c r="C130" s="274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</row>
    <row r="131" spans="1:15" s="277" customFormat="1" x14ac:dyDescent="0.25">
      <c r="A131" s="274" t="s">
        <v>319</v>
      </c>
      <c r="B131" s="275" t="s">
        <v>292</v>
      </c>
      <c r="C131" s="274">
        <v>250</v>
      </c>
      <c r="D131" s="276">
        <v>3.6789999999999998</v>
      </c>
      <c r="E131" s="276">
        <v>4.3</v>
      </c>
      <c r="F131" s="276">
        <v>21.206</v>
      </c>
      <c r="G131" s="276">
        <v>138.80600000000001</v>
      </c>
      <c r="H131" s="276">
        <v>0.16400000000000001</v>
      </c>
      <c r="I131" s="276">
        <v>19.478000000000002</v>
      </c>
      <c r="J131" s="276">
        <v>119.8</v>
      </c>
      <c r="K131" s="276">
        <v>0.245</v>
      </c>
      <c r="L131" s="276">
        <v>63.665999999999997</v>
      </c>
      <c r="M131" s="276">
        <v>101.012</v>
      </c>
      <c r="N131" s="276">
        <v>30.285</v>
      </c>
      <c r="O131" s="276">
        <v>1.0529999999999999</v>
      </c>
    </row>
    <row r="132" spans="1:15" s="277" customFormat="1" ht="31.5" x14ac:dyDescent="0.25">
      <c r="A132" s="274"/>
      <c r="B132" s="275" t="s">
        <v>365</v>
      </c>
      <c r="C132" s="274">
        <v>200</v>
      </c>
      <c r="D132" s="276">
        <v>13.444000000000001</v>
      </c>
      <c r="E132" s="276">
        <v>6.0369999999999999</v>
      </c>
      <c r="F132" s="276">
        <v>22.806000000000001</v>
      </c>
      <c r="G132" s="276">
        <v>199.745</v>
      </c>
      <c r="H132" s="276">
        <v>0.219</v>
      </c>
      <c r="I132" s="276">
        <v>26.25</v>
      </c>
      <c r="J132" s="276">
        <v>486.5</v>
      </c>
      <c r="K132" s="276">
        <v>3.0150000000000001</v>
      </c>
      <c r="L132" s="276">
        <v>37.01</v>
      </c>
      <c r="M132" s="276">
        <v>222.88</v>
      </c>
      <c r="N132" s="276">
        <v>56.88</v>
      </c>
      <c r="O132" s="276">
        <v>1.619</v>
      </c>
    </row>
    <row r="133" spans="1:15" s="277" customFormat="1" x14ac:dyDescent="0.25">
      <c r="A133" s="274" t="s">
        <v>333</v>
      </c>
      <c r="B133" s="275" t="s">
        <v>334</v>
      </c>
      <c r="C133" s="274">
        <v>180</v>
      </c>
      <c r="D133" s="276">
        <v>1.3049999999999999</v>
      </c>
      <c r="E133" s="276">
        <v>1.125</v>
      </c>
      <c r="F133" s="276">
        <v>13.141</v>
      </c>
      <c r="G133" s="276">
        <v>68.201999999999998</v>
      </c>
      <c r="H133" s="276">
        <v>0.01</v>
      </c>
      <c r="I133" s="276">
        <v>0.37</v>
      </c>
      <c r="J133" s="276">
        <v>4.5</v>
      </c>
      <c r="K133" s="276"/>
      <c r="L133" s="276">
        <v>58.95</v>
      </c>
      <c r="M133" s="276">
        <v>48.74</v>
      </c>
      <c r="N133" s="276">
        <v>10.7</v>
      </c>
      <c r="O133" s="276">
        <v>0.89800000000000002</v>
      </c>
    </row>
    <row r="134" spans="1:15" s="277" customFormat="1" x14ac:dyDescent="0.25">
      <c r="A134" s="274"/>
      <c r="B134" s="275" t="s">
        <v>84</v>
      </c>
      <c r="C134" s="274">
        <v>40</v>
      </c>
      <c r="D134" s="276">
        <v>3.16</v>
      </c>
      <c r="E134" s="276">
        <v>0.4</v>
      </c>
      <c r="F134" s="276">
        <v>19.32</v>
      </c>
      <c r="G134" s="276">
        <v>94</v>
      </c>
      <c r="H134" s="276">
        <v>6.4000000000000001E-2</v>
      </c>
      <c r="I134" s="276"/>
      <c r="J134" s="276"/>
      <c r="K134" s="276">
        <v>0.52</v>
      </c>
      <c r="L134" s="276">
        <v>9.1999999999999993</v>
      </c>
      <c r="M134" s="276">
        <v>34.799999999999997</v>
      </c>
      <c r="N134" s="276">
        <v>13.2</v>
      </c>
      <c r="O134" s="276">
        <v>0.8</v>
      </c>
    </row>
    <row r="135" spans="1:15" s="277" customFormat="1" x14ac:dyDescent="0.25">
      <c r="A135" s="274"/>
      <c r="B135" s="275" t="s">
        <v>126</v>
      </c>
      <c r="C135" s="274">
        <v>80</v>
      </c>
      <c r="D135" s="276">
        <v>5.2619999999999996</v>
      </c>
      <c r="E135" s="276">
        <v>7.0259999999999998</v>
      </c>
      <c r="F135" s="276">
        <v>38.514000000000003</v>
      </c>
      <c r="G135" s="276">
        <v>238.92</v>
      </c>
      <c r="H135" s="276">
        <v>0.33900000000000002</v>
      </c>
      <c r="I135" s="276">
        <v>2.544</v>
      </c>
      <c r="J135" s="276">
        <v>35.6</v>
      </c>
      <c r="K135" s="276">
        <v>0.74</v>
      </c>
      <c r="L135" s="276">
        <v>41.904000000000003</v>
      </c>
      <c r="M135" s="276">
        <v>61.728000000000002</v>
      </c>
      <c r="N135" s="276">
        <v>12.048</v>
      </c>
      <c r="O135" s="276">
        <v>1.077</v>
      </c>
    </row>
    <row r="136" spans="1:15" s="277" customFormat="1" x14ac:dyDescent="0.25">
      <c r="A136" s="274"/>
      <c r="B136" s="275" t="s">
        <v>364</v>
      </c>
      <c r="C136" s="274">
        <v>150</v>
      </c>
      <c r="D136" s="276">
        <v>0.6</v>
      </c>
      <c r="E136" s="276">
        <v>0.45</v>
      </c>
      <c r="F136" s="276">
        <v>15.45</v>
      </c>
      <c r="G136" s="276">
        <v>70.5</v>
      </c>
      <c r="H136" s="276">
        <v>0.03</v>
      </c>
      <c r="I136" s="276">
        <v>7.5</v>
      </c>
      <c r="J136" s="276"/>
      <c r="K136" s="276">
        <v>0.6</v>
      </c>
      <c r="L136" s="276">
        <v>28.5</v>
      </c>
      <c r="M136" s="276">
        <v>24</v>
      </c>
      <c r="N136" s="276">
        <v>18</v>
      </c>
      <c r="O136" s="276">
        <v>3.45</v>
      </c>
    </row>
    <row r="137" spans="1:15" s="277" customFormat="1" x14ac:dyDescent="0.25">
      <c r="A137" s="274" t="s">
        <v>23</v>
      </c>
      <c r="B137" s="275"/>
      <c r="C137" s="274">
        <f>SUM(C131:C136)</f>
        <v>900</v>
      </c>
      <c r="D137" s="276">
        <f>SUM(D131:D136)</f>
        <v>27.450000000000003</v>
      </c>
      <c r="E137" s="276">
        <f t="shared" ref="E137:O137" si="5">SUM(E131:E136)</f>
        <v>19.337999999999997</v>
      </c>
      <c r="F137" s="276">
        <f t="shared" si="5"/>
        <v>130.43699999999998</v>
      </c>
      <c r="G137" s="276">
        <f t="shared" si="5"/>
        <v>810.173</v>
      </c>
      <c r="H137" s="276">
        <f t="shared" si="5"/>
        <v>0.82600000000000007</v>
      </c>
      <c r="I137" s="276">
        <f t="shared" si="5"/>
        <v>56.141999999999996</v>
      </c>
      <c r="J137" s="276">
        <f t="shared" si="5"/>
        <v>646.4</v>
      </c>
      <c r="K137" s="276">
        <f t="shared" si="5"/>
        <v>5.12</v>
      </c>
      <c r="L137" s="276">
        <f t="shared" si="5"/>
        <v>239.22999999999996</v>
      </c>
      <c r="M137" s="276">
        <f t="shared" si="5"/>
        <v>493.16</v>
      </c>
      <c r="N137" s="276">
        <f t="shared" si="5"/>
        <v>141.113</v>
      </c>
      <c r="O137" s="276">
        <f t="shared" si="5"/>
        <v>8.8970000000000002</v>
      </c>
    </row>
    <row r="138" spans="1:15" s="277" customFormat="1" x14ac:dyDescent="0.25">
      <c r="A138" s="274" t="s">
        <v>24</v>
      </c>
      <c r="B138" s="275"/>
      <c r="C138" s="274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</row>
    <row r="139" spans="1:15" s="277" customFormat="1" x14ac:dyDescent="0.25">
      <c r="A139" s="274" t="s">
        <v>297</v>
      </c>
      <c r="B139" s="275" t="s">
        <v>202</v>
      </c>
      <c r="C139" s="274">
        <v>125</v>
      </c>
      <c r="D139" s="276">
        <v>19.122</v>
      </c>
      <c r="E139" s="276">
        <v>12.287000000000001</v>
      </c>
      <c r="F139" s="276">
        <v>18.23</v>
      </c>
      <c r="G139" s="276">
        <v>263.59199999999998</v>
      </c>
      <c r="H139" s="276">
        <v>0.121</v>
      </c>
      <c r="I139" s="276">
        <v>0.58799999999999997</v>
      </c>
      <c r="J139" s="276">
        <v>90.75</v>
      </c>
      <c r="K139" s="276">
        <v>0.24299999999999999</v>
      </c>
      <c r="L139" s="276">
        <v>184.37</v>
      </c>
      <c r="M139" s="276">
        <v>248.881</v>
      </c>
      <c r="N139" s="276">
        <v>26.707999999999998</v>
      </c>
      <c r="O139" s="276">
        <v>0.84899999999999998</v>
      </c>
    </row>
    <row r="140" spans="1:15" s="277" customFormat="1" x14ac:dyDescent="0.25">
      <c r="A140" s="274" t="s">
        <v>204</v>
      </c>
      <c r="B140" s="275" t="s">
        <v>219</v>
      </c>
      <c r="C140" s="274">
        <v>125</v>
      </c>
      <c r="D140" s="276">
        <v>3.375</v>
      </c>
      <c r="E140" s="276">
        <v>3.125</v>
      </c>
      <c r="F140" s="276">
        <v>13.5</v>
      </c>
      <c r="G140" s="276">
        <v>98.75</v>
      </c>
      <c r="H140" s="276">
        <v>3.7999999999999999E-2</v>
      </c>
      <c r="I140" s="276">
        <v>1.125</v>
      </c>
      <c r="J140" s="276">
        <v>25</v>
      </c>
      <c r="K140" s="276"/>
      <c r="L140" s="276">
        <v>151.25</v>
      </c>
      <c r="M140" s="276">
        <v>117.5</v>
      </c>
      <c r="N140" s="276">
        <v>18.75</v>
      </c>
      <c r="O140" s="276">
        <v>0.125</v>
      </c>
    </row>
    <row r="141" spans="1:15" s="277" customFormat="1" x14ac:dyDescent="0.25">
      <c r="A141" s="274" t="s">
        <v>25</v>
      </c>
      <c r="B141" s="275"/>
      <c r="C141" s="274">
        <v>250</v>
      </c>
      <c r="D141" s="276">
        <v>22.497</v>
      </c>
      <c r="E141" s="276">
        <v>15.412000000000001</v>
      </c>
      <c r="F141" s="276">
        <v>31.73</v>
      </c>
      <c r="G141" s="276">
        <v>362.34199999999998</v>
      </c>
      <c r="H141" s="276">
        <v>0.159</v>
      </c>
      <c r="I141" s="276">
        <v>1.7130000000000001</v>
      </c>
      <c r="J141" s="276">
        <v>115.75</v>
      </c>
      <c r="K141" s="276">
        <v>0.24299999999999999</v>
      </c>
      <c r="L141" s="276">
        <v>335.62</v>
      </c>
      <c r="M141" s="276">
        <v>366.38099999999997</v>
      </c>
      <c r="N141" s="276">
        <v>45.457999999999998</v>
      </c>
      <c r="O141" s="276">
        <v>0.97399999999999998</v>
      </c>
    </row>
    <row r="142" spans="1:15" s="277" customFormat="1" x14ac:dyDescent="0.25">
      <c r="A142" s="274" t="s">
        <v>34</v>
      </c>
      <c r="B142" s="275"/>
      <c r="C142" s="274">
        <f>C141+C137+C129+C125</f>
        <v>1950</v>
      </c>
      <c r="D142" s="276">
        <f t="shared" ref="D142:O142" si="6">D141+D137+D129+D125</f>
        <v>92.534999999999997</v>
      </c>
      <c r="E142" s="276">
        <f t="shared" si="6"/>
        <v>71.885999999999996</v>
      </c>
      <c r="F142" s="276">
        <f t="shared" si="6"/>
        <v>242.37299999999996</v>
      </c>
      <c r="G142" s="276">
        <f t="shared" si="6"/>
        <v>2008.029</v>
      </c>
      <c r="H142" s="276">
        <f t="shared" si="6"/>
        <v>1.3520000000000001</v>
      </c>
      <c r="I142" s="276">
        <f t="shared" si="6"/>
        <v>73.784999999999997</v>
      </c>
      <c r="J142" s="276">
        <f t="shared" si="6"/>
        <v>1195</v>
      </c>
      <c r="K142" s="276">
        <f t="shared" si="6"/>
        <v>7.4820000000000011</v>
      </c>
      <c r="L142" s="276">
        <f t="shared" si="6"/>
        <v>1103.5899999999999</v>
      </c>
      <c r="M142" s="276">
        <f t="shared" si="6"/>
        <v>1576.008</v>
      </c>
      <c r="N142" s="276">
        <f t="shared" si="6"/>
        <v>294.32499999999999</v>
      </c>
      <c r="O142" s="276">
        <f t="shared" si="6"/>
        <v>18.414000000000001</v>
      </c>
    </row>
    <row r="143" spans="1:15" s="277" customFormat="1" x14ac:dyDescent="0.25">
      <c r="A143" s="274" t="s">
        <v>35</v>
      </c>
      <c r="B143" s="275"/>
      <c r="C143" s="274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</row>
    <row r="144" spans="1:15" s="277" customFormat="1" ht="31.5" x14ac:dyDescent="0.25">
      <c r="A144" s="274" t="s">
        <v>0</v>
      </c>
      <c r="B144" s="275" t="s">
        <v>1</v>
      </c>
      <c r="C144" s="274" t="s">
        <v>2</v>
      </c>
      <c r="D144" s="276" t="s">
        <v>3</v>
      </c>
      <c r="E144" s="276"/>
      <c r="F144" s="276"/>
      <c r="G144" s="276" t="s">
        <v>4</v>
      </c>
      <c r="H144" s="276" t="s">
        <v>5</v>
      </c>
      <c r="I144" s="276"/>
      <c r="J144" s="276"/>
      <c r="K144" s="276"/>
      <c r="L144" s="276" t="s">
        <v>6</v>
      </c>
      <c r="M144" s="276"/>
      <c r="N144" s="276"/>
      <c r="O144" s="276"/>
    </row>
    <row r="145" spans="1:15" s="277" customFormat="1" x14ac:dyDescent="0.25">
      <c r="A145" s="274"/>
      <c r="B145" s="275"/>
      <c r="C145" s="274"/>
      <c r="D145" s="276" t="s">
        <v>7</v>
      </c>
      <c r="E145" s="276" t="s">
        <v>8</v>
      </c>
      <c r="F145" s="276" t="s">
        <v>9</v>
      </c>
      <c r="G145" s="276"/>
      <c r="H145" s="276" t="s">
        <v>10</v>
      </c>
      <c r="I145" s="276" t="s">
        <v>11</v>
      </c>
      <c r="J145" s="276" t="s">
        <v>12</v>
      </c>
      <c r="K145" s="276" t="s">
        <v>13</v>
      </c>
      <c r="L145" s="276" t="s">
        <v>14</v>
      </c>
      <c r="M145" s="276" t="s">
        <v>15</v>
      </c>
      <c r="N145" s="276" t="s">
        <v>16</v>
      </c>
      <c r="O145" s="276" t="s">
        <v>17</v>
      </c>
    </row>
    <row r="146" spans="1:15" s="277" customFormat="1" x14ac:dyDescent="0.25">
      <c r="A146" s="274" t="s">
        <v>18</v>
      </c>
      <c r="B146" s="275"/>
      <c r="C146" s="274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</row>
    <row r="147" spans="1:15" s="277" customFormat="1" ht="31.5" x14ac:dyDescent="0.25">
      <c r="A147" s="274"/>
      <c r="B147" s="275" t="s">
        <v>303</v>
      </c>
      <c r="C147" s="274">
        <v>40</v>
      </c>
      <c r="D147" s="276">
        <v>0.28000000000000003</v>
      </c>
      <c r="E147" s="276">
        <v>0.04</v>
      </c>
      <c r="F147" s="276">
        <v>0.76</v>
      </c>
      <c r="G147" s="276">
        <v>4.4000000000000004</v>
      </c>
      <c r="H147" s="276">
        <v>1.2E-2</v>
      </c>
      <c r="I147" s="276">
        <v>2.8</v>
      </c>
      <c r="J147" s="276"/>
      <c r="K147" s="276">
        <v>0.04</v>
      </c>
      <c r="L147" s="276">
        <v>6.8</v>
      </c>
      <c r="M147" s="276">
        <v>12</v>
      </c>
      <c r="N147" s="276">
        <v>5.6</v>
      </c>
      <c r="O147" s="276">
        <v>0.2</v>
      </c>
    </row>
    <row r="148" spans="1:15" s="277" customFormat="1" ht="31.5" x14ac:dyDescent="0.25">
      <c r="A148" s="274" t="s">
        <v>300</v>
      </c>
      <c r="B148" s="275" t="s">
        <v>301</v>
      </c>
      <c r="C148" s="274">
        <v>90</v>
      </c>
      <c r="D148" s="276">
        <v>15.084</v>
      </c>
      <c r="E148" s="276">
        <v>10.753</v>
      </c>
      <c r="F148" s="276">
        <v>8.7530000000000001</v>
      </c>
      <c r="G148" s="276">
        <v>192.32499999999999</v>
      </c>
      <c r="H148" s="276">
        <v>7.0000000000000007E-2</v>
      </c>
      <c r="I148" s="276">
        <v>0.12</v>
      </c>
      <c r="J148" s="276">
        <v>22</v>
      </c>
      <c r="K148" s="276">
        <v>0.52200000000000002</v>
      </c>
      <c r="L148" s="276">
        <v>34.82</v>
      </c>
      <c r="M148" s="276">
        <v>157.5</v>
      </c>
      <c r="N148" s="276">
        <v>22.6</v>
      </c>
      <c r="O148" s="276">
        <v>2.1320000000000001</v>
      </c>
    </row>
    <row r="149" spans="1:15" s="277" customFormat="1" ht="47.25" x14ac:dyDescent="0.25">
      <c r="A149" s="278" t="s">
        <v>332</v>
      </c>
      <c r="B149" s="279" t="s">
        <v>368</v>
      </c>
      <c r="C149" s="278">
        <v>160</v>
      </c>
      <c r="D149" s="280">
        <v>3.3069999999999999</v>
      </c>
      <c r="E149" s="280">
        <v>9.2899999999999991</v>
      </c>
      <c r="F149" s="280">
        <v>21.036999999999999</v>
      </c>
      <c r="G149" s="280">
        <v>182.16900000000001</v>
      </c>
      <c r="H149" s="280">
        <v>0.16200000000000001</v>
      </c>
      <c r="I149" s="280">
        <v>30.181999999999999</v>
      </c>
      <c r="J149" s="280">
        <v>808</v>
      </c>
      <c r="K149" s="280">
        <v>2.157</v>
      </c>
      <c r="L149" s="280">
        <v>44.534999999999997</v>
      </c>
      <c r="M149" s="280">
        <v>96.093000000000004</v>
      </c>
      <c r="N149" s="280">
        <v>41.643000000000001</v>
      </c>
      <c r="O149" s="280">
        <v>1.3759999999999999</v>
      </c>
    </row>
    <row r="150" spans="1:15" s="277" customFormat="1" x14ac:dyDescent="0.25">
      <c r="A150" s="274" t="s">
        <v>376</v>
      </c>
      <c r="B150" s="275" t="s">
        <v>142</v>
      </c>
      <c r="C150" s="274">
        <v>180</v>
      </c>
      <c r="D150" s="276"/>
      <c r="E150" s="276"/>
      <c r="F150" s="276">
        <v>7.9870000000000001</v>
      </c>
      <c r="G150" s="276">
        <v>31.931999999999999</v>
      </c>
      <c r="H150" s="276">
        <v>1E-3</v>
      </c>
      <c r="I150" s="276">
        <v>0.1</v>
      </c>
      <c r="J150" s="276"/>
      <c r="K150" s="276"/>
      <c r="L150" s="276">
        <v>4.95</v>
      </c>
      <c r="M150" s="276">
        <v>8.24</v>
      </c>
      <c r="N150" s="276">
        <v>4.4000000000000004</v>
      </c>
      <c r="O150" s="276">
        <v>0.84399999999999997</v>
      </c>
    </row>
    <row r="151" spans="1:15" s="277" customFormat="1" x14ac:dyDescent="0.25">
      <c r="A151" s="274">
        <v>0</v>
      </c>
      <c r="B151" s="275" t="s">
        <v>84</v>
      </c>
      <c r="C151" s="274">
        <v>50</v>
      </c>
      <c r="D151" s="276">
        <v>3.95</v>
      </c>
      <c r="E151" s="276">
        <v>0.5</v>
      </c>
      <c r="F151" s="276">
        <v>24.15</v>
      </c>
      <c r="G151" s="276">
        <v>117.5</v>
      </c>
      <c r="H151" s="276">
        <v>0.08</v>
      </c>
      <c r="I151" s="276"/>
      <c r="J151" s="276"/>
      <c r="K151" s="276">
        <v>0.65</v>
      </c>
      <c r="L151" s="276">
        <v>11.5</v>
      </c>
      <c r="M151" s="276">
        <v>43.5</v>
      </c>
      <c r="N151" s="276">
        <v>16.5</v>
      </c>
      <c r="O151" s="276">
        <v>1</v>
      </c>
    </row>
    <row r="152" spans="1:15" s="277" customFormat="1" x14ac:dyDescent="0.25">
      <c r="A152" s="274">
        <v>0</v>
      </c>
      <c r="B152" s="275" t="s">
        <v>360</v>
      </c>
      <c r="C152" s="274">
        <v>100</v>
      </c>
      <c r="D152" s="276">
        <v>0.4</v>
      </c>
      <c r="E152" s="276">
        <v>0.3</v>
      </c>
      <c r="F152" s="276">
        <v>10.3</v>
      </c>
      <c r="G152" s="276">
        <v>47</v>
      </c>
      <c r="H152" s="276">
        <v>0.02</v>
      </c>
      <c r="I152" s="276">
        <v>5</v>
      </c>
      <c r="J152" s="276"/>
      <c r="K152" s="276">
        <v>0.4</v>
      </c>
      <c r="L152" s="276">
        <v>19</v>
      </c>
      <c r="M152" s="276">
        <v>16</v>
      </c>
      <c r="N152" s="276">
        <v>12</v>
      </c>
      <c r="O152" s="276">
        <v>2.2999999999999998</v>
      </c>
    </row>
    <row r="153" spans="1:15" s="277" customFormat="1" x14ac:dyDescent="0.25">
      <c r="A153" s="274" t="s">
        <v>19</v>
      </c>
      <c r="B153" s="275"/>
      <c r="C153" s="278">
        <v>620</v>
      </c>
      <c r="D153" s="280">
        <v>23.021000000000001</v>
      </c>
      <c r="E153" s="280">
        <v>20.882999999999999</v>
      </c>
      <c r="F153" s="280">
        <v>72.986999999999995</v>
      </c>
      <c r="G153" s="280">
        <v>575.32600000000002</v>
      </c>
      <c r="H153" s="280">
        <v>0.34499999999999997</v>
      </c>
      <c r="I153" s="280">
        <v>38.201999999999998</v>
      </c>
      <c r="J153" s="280">
        <v>830</v>
      </c>
      <c r="K153" s="280">
        <v>3.7690000000000001</v>
      </c>
      <c r="L153" s="280">
        <v>121.605</v>
      </c>
      <c r="M153" s="280">
        <v>333.33300000000003</v>
      </c>
      <c r="N153" s="280">
        <v>102.74299999999999</v>
      </c>
      <c r="O153" s="280">
        <v>7.8520000000000003</v>
      </c>
    </row>
    <row r="154" spans="1:15" s="277" customFormat="1" x14ac:dyDescent="0.25">
      <c r="A154" s="274" t="s">
        <v>20</v>
      </c>
      <c r="B154" s="275"/>
      <c r="C154" s="274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</row>
    <row r="155" spans="1:15" s="277" customFormat="1" ht="31.5" x14ac:dyDescent="0.25">
      <c r="A155" s="274" t="s">
        <v>317</v>
      </c>
      <c r="B155" s="275" t="s">
        <v>318</v>
      </c>
      <c r="C155" s="274">
        <v>125</v>
      </c>
      <c r="D155" s="276">
        <v>1.1819999999999999</v>
      </c>
      <c r="E155" s="276">
        <v>0.252</v>
      </c>
      <c r="F155" s="276">
        <v>24.756</v>
      </c>
      <c r="G155" s="276">
        <v>106.02</v>
      </c>
      <c r="H155" s="276">
        <v>2.5000000000000001E-2</v>
      </c>
      <c r="I155" s="276">
        <v>3.8</v>
      </c>
      <c r="J155" s="276">
        <v>1.9</v>
      </c>
      <c r="K155" s="276">
        <v>0.22600000000000001</v>
      </c>
      <c r="L155" s="276">
        <v>8.08</v>
      </c>
      <c r="M155" s="276">
        <v>12.68</v>
      </c>
      <c r="N155" s="276">
        <v>5.22</v>
      </c>
      <c r="O155" s="276">
        <v>0.97799999999999998</v>
      </c>
    </row>
    <row r="156" spans="1:15" s="277" customFormat="1" x14ac:dyDescent="0.25">
      <c r="A156" s="274" t="s">
        <v>204</v>
      </c>
      <c r="B156" s="275" t="s">
        <v>219</v>
      </c>
      <c r="C156" s="274">
        <v>125</v>
      </c>
      <c r="D156" s="276">
        <v>3.375</v>
      </c>
      <c r="E156" s="276">
        <v>3.125</v>
      </c>
      <c r="F156" s="276">
        <v>13.5</v>
      </c>
      <c r="G156" s="276">
        <v>98.75</v>
      </c>
      <c r="H156" s="276">
        <v>3.7999999999999999E-2</v>
      </c>
      <c r="I156" s="276">
        <v>1.125</v>
      </c>
      <c r="J156" s="276">
        <v>25</v>
      </c>
      <c r="K156" s="276"/>
      <c r="L156" s="276">
        <v>151.25</v>
      </c>
      <c r="M156" s="276">
        <v>117.5</v>
      </c>
      <c r="N156" s="276">
        <v>18.75</v>
      </c>
      <c r="O156" s="276">
        <v>0.125</v>
      </c>
    </row>
    <row r="157" spans="1:15" s="277" customFormat="1" x14ac:dyDescent="0.25">
      <c r="A157" s="274" t="s">
        <v>21</v>
      </c>
      <c r="B157" s="275"/>
      <c r="C157" s="274">
        <v>250</v>
      </c>
      <c r="D157" s="276">
        <v>4.5570000000000004</v>
      </c>
      <c r="E157" s="276">
        <v>3.3769999999999998</v>
      </c>
      <c r="F157" s="276">
        <v>38.256</v>
      </c>
      <c r="G157" s="276">
        <v>204.77</v>
      </c>
      <c r="H157" s="276">
        <v>6.3E-2</v>
      </c>
      <c r="I157" s="276">
        <v>4.9249999999999998</v>
      </c>
      <c r="J157" s="276">
        <v>26.9</v>
      </c>
      <c r="K157" s="276">
        <v>0.22600000000000001</v>
      </c>
      <c r="L157" s="276">
        <v>159.33000000000001</v>
      </c>
      <c r="M157" s="276">
        <v>130.18</v>
      </c>
      <c r="N157" s="276">
        <v>23.97</v>
      </c>
      <c r="O157" s="276">
        <v>1.103</v>
      </c>
    </row>
    <row r="158" spans="1:15" s="277" customFormat="1" x14ac:dyDescent="0.25">
      <c r="A158" s="274" t="s">
        <v>22</v>
      </c>
      <c r="B158" s="275"/>
      <c r="C158" s="274"/>
      <c r="D158" s="276"/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</row>
    <row r="159" spans="1:15" s="277" customFormat="1" x14ac:dyDescent="0.25">
      <c r="A159" s="274" t="s">
        <v>335</v>
      </c>
      <c r="B159" s="275" t="s">
        <v>243</v>
      </c>
      <c r="C159" s="274">
        <v>60</v>
      </c>
      <c r="D159" s="276">
        <v>1.4590000000000001</v>
      </c>
      <c r="E159" s="276">
        <v>5.0620000000000003</v>
      </c>
      <c r="F159" s="276">
        <v>7.8550000000000004</v>
      </c>
      <c r="G159" s="276">
        <v>84.504999999999995</v>
      </c>
      <c r="H159" s="276">
        <v>5.5E-2</v>
      </c>
      <c r="I159" s="276">
        <v>10.1</v>
      </c>
      <c r="J159" s="276">
        <v>900</v>
      </c>
      <c r="K159" s="276">
        <v>2.552</v>
      </c>
      <c r="L159" s="276">
        <v>22.24</v>
      </c>
      <c r="M159" s="276">
        <v>42.18</v>
      </c>
      <c r="N159" s="276">
        <v>26.36</v>
      </c>
      <c r="O159" s="276">
        <v>0.78</v>
      </c>
    </row>
    <row r="160" spans="1:15" s="277" customFormat="1" x14ac:dyDescent="0.25">
      <c r="A160" s="274" t="s">
        <v>327</v>
      </c>
      <c r="B160" s="275" t="s">
        <v>328</v>
      </c>
      <c r="C160" s="274">
        <v>240</v>
      </c>
      <c r="D160" s="276">
        <v>2.3959999999999999</v>
      </c>
      <c r="E160" s="276">
        <v>2.2639999999999998</v>
      </c>
      <c r="F160" s="276">
        <v>11.263999999999999</v>
      </c>
      <c r="G160" s="276">
        <v>75.677999999999997</v>
      </c>
      <c r="H160" s="276">
        <v>9.2999999999999999E-2</v>
      </c>
      <c r="I160" s="276">
        <v>15.194000000000001</v>
      </c>
      <c r="J160" s="276">
        <v>290.39999999999998</v>
      </c>
      <c r="K160" s="276">
        <v>0.214</v>
      </c>
      <c r="L160" s="276">
        <v>51.23</v>
      </c>
      <c r="M160" s="276">
        <v>60.35</v>
      </c>
      <c r="N160" s="276">
        <v>19.597999999999999</v>
      </c>
      <c r="O160" s="276">
        <v>0.61699999999999999</v>
      </c>
    </row>
    <row r="161" spans="1:15" s="277" customFormat="1" x14ac:dyDescent="0.25">
      <c r="A161" s="274"/>
      <c r="B161" s="275" t="s">
        <v>329</v>
      </c>
      <c r="C161" s="274">
        <v>10</v>
      </c>
      <c r="D161" s="276">
        <v>0.27</v>
      </c>
      <c r="E161" s="276">
        <v>1</v>
      </c>
      <c r="F161" s="276">
        <v>0.39</v>
      </c>
      <c r="G161" s="276">
        <v>11.9</v>
      </c>
      <c r="H161" s="276">
        <v>3.0000000000000001E-3</v>
      </c>
      <c r="I161" s="276">
        <v>0.05</v>
      </c>
      <c r="J161" s="276">
        <v>6.5</v>
      </c>
      <c r="K161" s="276">
        <v>0.03</v>
      </c>
      <c r="L161" s="276">
        <v>9</v>
      </c>
      <c r="M161" s="276">
        <v>6.2</v>
      </c>
      <c r="N161" s="276">
        <v>1</v>
      </c>
      <c r="O161" s="276">
        <v>0.01</v>
      </c>
    </row>
    <row r="162" spans="1:15" s="277" customFormat="1" x14ac:dyDescent="0.25">
      <c r="A162" s="274" t="s">
        <v>336</v>
      </c>
      <c r="B162" s="275" t="s">
        <v>146</v>
      </c>
      <c r="C162" s="274">
        <v>150</v>
      </c>
      <c r="D162" s="276">
        <v>17.922000000000001</v>
      </c>
      <c r="E162" s="276">
        <v>18.893000000000001</v>
      </c>
      <c r="F162" s="276">
        <v>0.73899999999999999</v>
      </c>
      <c r="G162" s="276">
        <v>245.59899999999999</v>
      </c>
      <c r="H162" s="276">
        <v>7.5999999999999998E-2</v>
      </c>
      <c r="I162" s="276">
        <v>0.16</v>
      </c>
      <c r="J162" s="276">
        <v>307.98200000000003</v>
      </c>
      <c r="K162" s="276">
        <v>0.73</v>
      </c>
      <c r="L162" s="276">
        <v>255.86799999999999</v>
      </c>
      <c r="M162" s="276">
        <v>320.89499999999998</v>
      </c>
      <c r="N162" s="276">
        <v>21.01</v>
      </c>
      <c r="O162" s="276">
        <v>2.7080000000000002</v>
      </c>
    </row>
    <row r="163" spans="1:15" s="277" customFormat="1" x14ac:dyDescent="0.25">
      <c r="A163" s="274" t="s">
        <v>377</v>
      </c>
      <c r="B163" s="275" t="s">
        <v>272</v>
      </c>
      <c r="C163" s="274">
        <v>180</v>
      </c>
      <c r="D163" s="276">
        <v>0.94399999999999995</v>
      </c>
      <c r="E163" s="276">
        <v>5.3999999999999999E-2</v>
      </c>
      <c r="F163" s="276">
        <v>23.42</v>
      </c>
      <c r="G163" s="276">
        <v>98.72</v>
      </c>
      <c r="H163" s="276">
        <v>1.7999999999999999E-2</v>
      </c>
      <c r="I163" s="276">
        <v>0.72</v>
      </c>
      <c r="J163" s="276">
        <v>104.94</v>
      </c>
      <c r="K163" s="276">
        <v>0.99</v>
      </c>
      <c r="L163" s="276">
        <v>32</v>
      </c>
      <c r="M163" s="276">
        <v>32.44</v>
      </c>
      <c r="N163" s="276">
        <v>18.899999999999999</v>
      </c>
      <c r="O163" s="276">
        <v>0.6</v>
      </c>
    </row>
    <row r="164" spans="1:15" s="277" customFormat="1" x14ac:dyDescent="0.25">
      <c r="A164" s="274">
        <v>0</v>
      </c>
      <c r="B164" s="275" t="s">
        <v>84</v>
      </c>
      <c r="C164" s="274">
        <v>70</v>
      </c>
      <c r="D164" s="276">
        <v>5.53</v>
      </c>
      <c r="E164" s="276">
        <v>0.7</v>
      </c>
      <c r="F164" s="276">
        <v>33.81</v>
      </c>
      <c r="G164" s="276">
        <v>164.5</v>
      </c>
      <c r="H164" s="276">
        <v>0.112</v>
      </c>
      <c r="I164" s="276"/>
      <c r="J164" s="276"/>
      <c r="K164" s="276">
        <v>0.91</v>
      </c>
      <c r="L164" s="276">
        <v>16.100000000000001</v>
      </c>
      <c r="M164" s="276">
        <v>60.9</v>
      </c>
      <c r="N164" s="276">
        <v>23.1</v>
      </c>
      <c r="O164" s="276">
        <v>1.4</v>
      </c>
    </row>
    <row r="165" spans="1:15" s="277" customFormat="1" x14ac:dyDescent="0.25">
      <c r="A165" s="274" t="s">
        <v>23</v>
      </c>
      <c r="B165" s="275"/>
      <c r="C165" s="274">
        <v>710</v>
      </c>
      <c r="D165" s="276">
        <v>28.521000000000001</v>
      </c>
      <c r="E165" s="276">
        <v>27.972999999999999</v>
      </c>
      <c r="F165" s="276">
        <v>77.477999999999994</v>
      </c>
      <c r="G165" s="276">
        <v>680.90200000000004</v>
      </c>
      <c r="H165" s="276">
        <v>0.35699999999999998</v>
      </c>
      <c r="I165" s="276">
        <v>26.224</v>
      </c>
      <c r="J165" s="276">
        <v>1609.8219999999999</v>
      </c>
      <c r="K165" s="276">
        <v>5.4260000000000002</v>
      </c>
      <c r="L165" s="276">
        <v>386.43799999999999</v>
      </c>
      <c r="M165" s="276">
        <v>522.96500000000003</v>
      </c>
      <c r="N165" s="276">
        <v>109.968</v>
      </c>
      <c r="O165" s="276">
        <v>6.1150000000000002</v>
      </c>
    </row>
    <row r="166" spans="1:15" s="277" customFormat="1" x14ac:dyDescent="0.25">
      <c r="A166" s="274" t="s">
        <v>24</v>
      </c>
      <c r="B166" s="275"/>
      <c r="C166" s="274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</row>
    <row r="167" spans="1:15" s="277" customFormat="1" ht="31.5" x14ac:dyDescent="0.25">
      <c r="A167" s="274" t="s">
        <v>317</v>
      </c>
      <c r="B167" s="275" t="s">
        <v>318</v>
      </c>
      <c r="C167" s="274">
        <v>125</v>
      </c>
      <c r="D167" s="276">
        <v>1.1819999999999999</v>
      </c>
      <c r="E167" s="276">
        <v>0.252</v>
      </c>
      <c r="F167" s="276">
        <v>24.756</v>
      </c>
      <c r="G167" s="276">
        <v>106.02</v>
      </c>
      <c r="H167" s="276">
        <v>2.5000000000000001E-2</v>
      </c>
      <c r="I167" s="276">
        <v>3.8</v>
      </c>
      <c r="J167" s="276">
        <v>1.9</v>
      </c>
      <c r="K167" s="276">
        <v>0.22600000000000001</v>
      </c>
      <c r="L167" s="276">
        <v>8.08</v>
      </c>
      <c r="M167" s="276">
        <v>12.68</v>
      </c>
      <c r="N167" s="276">
        <v>5.22</v>
      </c>
      <c r="O167" s="276">
        <v>0.97799999999999998</v>
      </c>
    </row>
    <row r="168" spans="1:15" s="277" customFormat="1" x14ac:dyDescent="0.25">
      <c r="A168" s="274" t="s">
        <v>204</v>
      </c>
      <c r="B168" s="275" t="s">
        <v>219</v>
      </c>
      <c r="C168" s="274">
        <v>125</v>
      </c>
      <c r="D168" s="276">
        <v>3.375</v>
      </c>
      <c r="E168" s="276">
        <v>3.125</v>
      </c>
      <c r="F168" s="276">
        <v>13.5</v>
      </c>
      <c r="G168" s="276">
        <v>98.75</v>
      </c>
      <c r="H168" s="276">
        <v>3.7999999999999999E-2</v>
      </c>
      <c r="I168" s="276">
        <v>1.125</v>
      </c>
      <c r="J168" s="276">
        <v>25</v>
      </c>
      <c r="K168" s="276"/>
      <c r="L168" s="276">
        <v>151.25</v>
      </c>
      <c r="M168" s="276">
        <v>117.5</v>
      </c>
      <c r="N168" s="276">
        <v>18.75</v>
      </c>
      <c r="O168" s="276">
        <v>0.125</v>
      </c>
    </row>
    <row r="169" spans="1:15" s="277" customFormat="1" x14ac:dyDescent="0.25">
      <c r="A169" s="274" t="s">
        <v>25</v>
      </c>
      <c r="B169" s="275"/>
      <c r="C169" s="274">
        <v>250</v>
      </c>
      <c r="D169" s="276">
        <v>4.5570000000000004</v>
      </c>
      <c r="E169" s="276">
        <v>3.3769999999999998</v>
      </c>
      <c r="F169" s="276">
        <v>38.256</v>
      </c>
      <c r="G169" s="276">
        <v>204.77</v>
      </c>
      <c r="H169" s="276">
        <v>6.3E-2</v>
      </c>
      <c r="I169" s="276">
        <v>4.9249999999999998</v>
      </c>
      <c r="J169" s="276">
        <v>26.9</v>
      </c>
      <c r="K169" s="276">
        <v>0.22600000000000001</v>
      </c>
      <c r="L169" s="276">
        <v>159.33000000000001</v>
      </c>
      <c r="M169" s="276">
        <v>130.18</v>
      </c>
      <c r="N169" s="276">
        <v>23.97</v>
      </c>
      <c r="O169" s="276">
        <v>1.103</v>
      </c>
    </row>
    <row r="170" spans="1:15" s="277" customFormat="1" x14ac:dyDescent="0.25">
      <c r="A170" s="274" t="s">
        <v>36</v>
      </c>
      <c r="B170" s="275"/>
      <c r="C170" s="278">
        <v>1830</v>
      </c>
      <c r="D170" s="280">
        <v>60.655999999999999</v>
      </c>
      <c r="E170" s="280">
        <v>55.61</v>
      </c>
      <c r="F170" s="280">
        <v>226.977</v>
      </c>
      <c r="G170" s="280">
        <v>1665.768</v>
      </c>
      <c r="H170" s="280">
        <v>0.82699999999999996</v>
      </c>
      <c r="I170" s="280">
        <v>74.275999999999996</v>
      </c>
      <c r="J170" s="280">
        <v>2493.6219999999998</v>
      </c>
      <c r="K170" s="280">
        <v>9.6470000000000002</v>
      </c>
      <c r="L170" s="280">
        <v>826.70299999999997</v>
      </c>
      <c r="M170" s="280">
        <v>1116.6579999999999</v>
      </c>
      <c r="N170" s="280">
        <v>260.65199999999999</v>
      </c>
      <c r="O170" s="280">
        <v>16.172999999999998</v>
      </c>
    </row>
    <row r="171" spans="1:15" s="277" customFormat="1" x14ac:dyDescent="0.25">
      <c r="A171" s="274" t="s">
        <v>37</v>
      </c>
      <c r="B171" s="275"/>
      <c r="C171" s="274"/>
      <c r="D171" s="276"/>
      <c r="E171" s="27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</row>
    <row r="172" spans="1:15" s="277" customFormat="1" ht="31.5" x14ac:dyDescent="0.25">
      <c r="A172" s="274" t="s">
        <v>0</v>
      </c>
      <c r="B172" s="275" t="s">
        <v>1</v>
      </c>
      <c r="C172" s="274" t="s">
        <v>2</v>
      </c>
      <c r="D172" s="276" t="s">
        <v>3</v>
      </c>
      <c r="E172" s="276"/>
      <c r="F172" s="276"/>
      <c r="G172" s="276" t="s">
        <v>4</v>
      </c>
      <c r="H172" s="276" t="s">
        <v>5</v>
      </c>
      <c r="I172" s="276"/>
      <c r="J172" s="276"/>
      <c r="K172" s="276"/>
      <c r="L172" s="276" t="s">
        <v>6</v>
      </c>
      <c r="M172" s="276"/>
      <c r="N172" s="276"/>
      <c r="O172" s="276"/>
    </row>
    <row r="173" spans="1:15" s="277" customFormat="1" x14ac:dyDescent="0.25">
      <c r="A173" s="274"/>
      <c r="B173" s="275"/>
      <c r="C173" s="274"/>
      <c r="D173" s="276" t="s">
        <v>7</v>
      </c>
      <c r="E173" s="276" t="s">
        <v>8</v>
      </c>
      <c r="F173" s="276" t="s">
        <v>9</v>
      </c>
      <c r="G173" s="276"/>
      <c r="H173" s="276" t="s">
        <v>10</v>
      </c>
      <c r="I173" s="276" t="s">
        <v>11</v>
      </c>
      <c r="J173" s="276" t="s">
        <v>12</v>
      </c>
      <c r="K173" s="276" t="s">
        <v>13</v>
      </c>
      <c r="L173" s="276" t="s">
        <v>14</v>
      </c>
      <c r="M173" s="276" t="s">
        <v>15</v>
      </c>
      <c r="N173" s="276" t="s">
        <v>16</v>
      </c>
      <c r="O173" s="276" t="s">
        <v>17</v>
      </c>
    </row>
    <row r="174" spans="1:15" s="277" customFormat="1" x14ac:dyDescent="0.25">
      <c r="A174" s="274" t="s">
        <v>18</v>
      </c>
      <c r="B174" s="275"/>
      <c r="C174" s="274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</row>
    <row r="175" spans="1:15" s="277" customFormat="1" ht="31.5" x14ac:dyDescent="0.25">
      <c r="A175" s="274"/>
      <c r="B175" s="275" t="s">
        <v>303</v>
      </c>
      <c r="C175" s="274">
        <v>40</v>
      </c>
      <c r="D175" s="276">
        <v>0.28000000000000003</v>
      </c>
      <c r="E175" s="276">
        <v>0.04</v>
      </c>
      <c r="F175" s="276">
        <v>0.76</v>
      </c>
      <c r="G175" s="276">
        <v>4.4000000000000004</v>
      </c>
      <c r="H175" s="276">
        <v>1.2E-2</v>
      </c>
      <c r="I175" s="276">
        <v>2.8</v>
      </c>
      <c r="J175" s="276"/>
      <c r="K175" s="276">
        <v>0.04</v>
      </c>
      <c r="L175" s="276">
        <v>6.8</v>
      </c>
      <c r="M175" s="276">
        <v>12</v>
      </c>
      <c r="N175" s="276">
        <v>5.6</v>
      </c>
      <c r="O175" s="276">
        <v>0.2</v>
      </c>
    </row>
    <row r="176" spans="1:15" s="277" customFormat="1" ht="31.5" x14ac:dyDescent="0.25">
      <c r="A176" s="274" t="s">
        <v>308</v>
      </c>
      <c r="B176" s="275" t="s">
        <v>337</v>
      </c>
      <c r="C176" s="274">
        <v>60</v>
      </c>
      <c r="D176" s="276">
        <v>11.691000000000001</v>
      </c>
      <c r="E176" s="276">
        <v>0.66900000000000004</v>
      </c>
      <c r="F176" s="276">
        <v>0.49199999999999999</v>
      </c>
      <c r="G176" s="276">
        <v>55.02</v>
      </c>
      <c r="H176" s="276">
        <v>8.3000000000000004E-2</v>
      </c>
      <c r="I176" s="276">
        <v>0.96499999999999997</v>
      </c>
      <c r="J176" s="276">
        <v>7.3</v>
      </c>
      <c r="K176" s="276">
        <v>0.23100000000000001</v>
      </c>
      <c r="L176" s="276">
        <v>31.06</v>
      </c>
      <c r="M176" s="276">
        <v>178.68</v>
      </c>
      <c r="N176" s="276">
        <v>40.99</v>
      </c>
      <c r="O176" s="276">
        <v>0.63200000000000001</v>
      </c>
    </row>
    <row r="177" spans="1:15" s="277" customFormat="1" x14ac:dyDescent="0.25">
      <c r="A177" s="274" t="s">
        <v>338</v>
      </c>
      <c r="B177" s="275" t="s">
        <v>162</v>
      </c>
      <c r="C177" s="274">
        <v>30</v>
      </c>
      <c r="D177" s="276">
        <v>0.42399999999999999</v>
      </c>
      <c r="E177" s="276">
        <v>1.226</v>
      </c>
      <c r="F177" s="276">
        <v>1.6859999999999999</v>
      </c>
      <c r="G177" s="276">
        <v>19.64</v>
      </c>
      <c r="H177" s="276">
        <v>1.7999999999999999E-2</v>
      </c>
      <c r="I177" s="276">
        <v>3.2000000000000001E-2</v>
      </c>
      <c r="J177" s="276">
        <v>8</v>
      </c>
      <c r="K177" s="276">
        <v>5.3999999999999999E-2</v>
      </c>
      <c r="L177" s="276">
        <v>7.4</v>
      </c>
      <c r="M177" s="276">
        <v>6.6</v>
      </c>
      <c r="N177" s="276">
        <v>1.04</v>
      </c>
      <c r="O177" s="276">
        <v>0.04</v>
      </c>
    </row>
    <row r="178" spans="1:15" s="277" customFormat="1" x14ac:dyDescent="0.25">
      <c r="A178" s="274" t="s">
        <v>378</v>
      </c>
      <c r="B178" s="275" t="s">
        <v>339</v>
      </c>
      <c r="C178" s="274">
        <v>150</v>
      </c>
      <c r="D178" s="276">
        <v>2.98</v>
      </c>
      <c r="E178" s="276">
        <v>4.2130000000000001</v>
      </c>
      <c r="F178" s="276">
        <v>24.026</v>
      </c>
      <c r="G178" s="276">
        <v>146.23500000000001</v>
      </c>
      <c r="H178" s="276">
        <v>0.17699999999999999</v>
      </c>
      <c r="I178" s="276">
        <v>29.4</v>
      </c>
      <c r="J178" s="276">
        <v>20</v>
      </c>
      <c r="K178" s="276">
        <v>0.19700000000000001</v>
      </c>
      <c r="L178" s="276">
        <v>19.579999999999998</v>
      </c>
      <c r="M178" s="276">
        <v>87.51</v>
      </c>
      <c r="N178" s="276">
        <v>34.03</v>
      </c>
      <c r="O178" s="276">
        <v>1.3620000000000001</v>
      </c>
    </row>
    <row r="179" spans="1:15" s="277" customFormat="1" x14ac:dyDescent="0.25">
      <c r="A179" s="274" t="s">
        <v>213</v>
      </c>
      <c r="B179" s="275" t="s">
        <v>107</v>
      </c>
      <c r="C179" s="274">
        <v>180</v>
      </c>
      <c r="D179" s="276">
        <v>0.70199999999999996</v>
      </c>
      <c r="E179" s="276">
        <v>5.3999999999999999E-2</v>
      </c>
      <c r="F179" s="276">
        <v>17.11</v>
      </c>
      <c r="G179" s="276">
        <v>72.78</v>
      </c>
      <c r="H179" s="276">
        <v>1.7999999999999999E-2</v>
      </c>
      <c r="I179" s="276">
        <v>0.72</v>
      </c>
      <c r="J179" s="276"/>
      <c r="K179" s="276">
        <v>0.99</v>
      </c>
      <c r="L179" s="276">
        <v>28.8</v>
      </c>
      <c r="M179" s="276">
        <v>26.28</v>
      </c>
      <c r="N179" s="276">
        <v>18.899999999999999</v>
      </c>
      <c r="O179" s="276">
        <v>0.6</v>
      </c>
    </row>
    <row r="180" spans="1:15" s="277" customFormat="1" x14ac:dyDescent="0.25">
      <c r="A180" s="274"/>
      <c r="B180" s="275" t="s">
        <v>84</v>
      </c>
      <c r="C180" s="274">
        <v>40</v>
      </c>
      <c r="D180" s="276">
        <v>3.16</v>
      </c>
      <c r="E180" s="276">
        <v>0.4</v>
      </c>
      <c r="F180" s="276">
        <v>19.32</v>
      </c>
      <c r="G180" s="276">
        <v>94</v>
      </c>
      <c r="H180" s="276">
        <v>6.4000000000000001E-2</v>
      </c>
      <c r="I180" s="276"/>
      <c r="J180" s="276"/>
      <c r="K180" s="276">
        <v>0.52</v>
      </c>
      <c r="L180" s="276">
        <v>9.1999999999999993</v>
      </c>
      <c r="M180" s="276">
        <v>34.799999999999997</v>
      </c>
      <c r="N180" s="276">
        <v>13.2</v>
      </c>
      <c r="O180" s="276">
        <v>0.8</v>
      </c>
    </row>
    <row r="181" spans="1:15" s="277" customFormat="1" x14ac:dyDescent="0.25">
      <c r="A181" s="274">
        <v>0</v>
      </c>
      <c r="B181" s="275" t="s">
        <v>360</v>
      </c>
      <c r="C181" s="274">
        <v>150</v>
      </c>
      <c r="D181" s="276">
        <v>0.6</v>
      </c>
      <c r="E181" s="276">
        <v>0.45</v>
      </c>
      <c r="F181" s="276">
        <v>15.45</v>
      </c>
      <c r="G181" s="276">
        <v>70.5</v>
      </c>
      <c r="H181" s="276">
        <v>0.03</v>
      </c>
      <c r="I181" s="276">
        <v>7.5</v>
      </c>
      <c r="J181" s="276"/>
      <c r="K181" s="276">
        <v>0.6</v>
      </c>
      <c r="L181" s="276">
        <v>28.5</v>
      </c>
      <c r="M181" s="276">
        <v>24</v>
      </c>
      <c r="N181" s="276">
        <v>18</v>
      </c>
      <c r="O181" s="276">
        <v>3.45</v>
      </c>
    </row>
    <row r="182" spans="1:15" s="277" customFormat="1" x14ac:dyDescent="0.25">
      <c r="A182" s="274" t="s">
        <v>19</v>
      </c>
      <c r="B182" s="275"/>
      <c r="C182" s="274">
        <v>650</v>
      </c>
      <c r="D182" s="276">
        <v>19.837</v>
      </c>
      <c r="E182" s="276">
        <v>7.0519999999999996</v>
      </c>
      <c r="F182" s="276">
        <v>78.843999999999994</v>
      </c>
      <c r="G182" s="276">
        <v>462.57499999999999</v>
      </c>
      <c r="H182" s="276">
        <v>0.40300000000000002</v>
      </c>
      <c r="I182" s="276">
        <v>41.417000000000002</v>
      </c>
      <c r="J182" s="276">
        <v>35.299999999999997</v>
      </c>
      <c r="K182" s="276">
        <v>2.6320000000000001</v>
      </c>
      <c r="L182" s="276">
        <v>131.34</v>
      </c>
      <c r="M182" s="276">
        <v>369.87</v>
      </c>
      <c r="N182" s="276">
        <v>131.76</v>
      </c>
      <c r="O182" s="276">
        <v>7.0839999999999996</v>
      </c>
    </row>
    <row r="183" spans="1:15" s="277" customFormat="1" x14ac:dyDescent="0.25">
      <c r="A183" s="274" t="s">
        <v>20</v>
      </c>
      <c r="B183" s="275"/>
      <c r="C183" s="274"/>
      <c r="D183" s="276"/>
      <c r="E183" s="276"/>
      <c r="F183" s="276"/>
      <c r="G183" s="276"/>
      <c r="H183" s="276"/>
      <c r="I183" s="276"/>
      <c r="J183" s="276"/>
      <c r="K183" s="276"/>
      <c r="L183" s="276"/>
      <c r="M183" s="276"/>
      <c r="N183" s="276"/>
      <c r="O183" s="276"/>
    </row>
    <row r="184" spans="1:15" s="277" customFormat="1" x14ac:dyDescent="0.25">
      <c r="A184" s="274" t="s">
        <v>340</v>
      </c>
      <c r="B184" s="275" t="s">
        <v>244</v>
      </c>
      <c r="C184" s="274">
        <v>125</v>
      </c>
      <c r="D184" s="276">
        <v>21.08</v>
      </c>
      <c r="E184" s="276">
        <v>12.256</v>
      </c>
      <c r="F184" s="276">
        <v>19.079999999999998</v>
      </c>
      <c r="G184" s="276">
        <v>275.27800000000002</v>
      </c>
      <c r="H184" s="276">
        <v>7.0000000000000007E-2</v>
      </c>
      <c r="I184" s="276">
        <v>0.53600000000000003</v>
      </c>
      <c r="J184" s="276">
        <v>79</v>
      </c>
      <c r="K184" s="276">
        <v>0.29399999999999998</v>
      </c>
      <c r="L184" s="276">
        <v>181.1</v>
      </c>
      <c r="M184" s="276">
        <v>256.82</v>
      </c>
      <c r="N184" s="276">
        <v>28.68</v>
      </c>
      <c r="O184" s="276">
        <v>0.82799999999999996</v>
      </c>
    </row>
    <row r="185" spans="1:15" s="277" customFormat="1" x14ac:dyDescent="0.25">
      <c r="A185" s="274" t="s">
        <v>204</v>
      </c>
      <c r="B185" s="275" t="s">
        <v>219</v>
      </c>
      <c r="C185" s="274">
        <v>125</v>
      </c>
      <c r="D185" s="276">
        <v>3.375</v>
      </c>
      <c r="E185" s="276">
        <v>3.125</v>
      </c>
      <c r="F185" s="276">
        <v>13.5</v>
      </c>
      <c r="G185" s="276">
        <v>98.75</v>
      </c>
      <c r="H185" s="276">
        <v>3.7999999999999999E-2</v>
      </c>
      <c r="I185" s="276">
        <v>1.125</v>
      </c>
      <c r="J185" s="276">
        <v>25</v>
      </c>
      <c r="K185" s="276"/>
      <c r="L185" s="276">
        <v>151.25</v>
      </c>
      <c r="M185" s="276">
        <v>117.5</v>
      </c>
      <c r="N185" s="276">
        <v>18.75</v>
      </c>
      <c r="O185" s="276">
        <v>0.125</v>
      </c>
    </row>
    <row r="186" spans="1:15" s="277" customFormat="1" x14ac:dyDescent="0.25">
      <c r="A186" s="274" t="s">
        <v>21</v>
      </c>
      <c r="B186" s="275"/>
      <c r="C186" s="274">
        <v>250</v>
      </c>
      <c r="D186" s="276">
        <v>24.454999999999998</v>
      </c>
      <c r="E186" s="276">
        <v>15.381</v>
      </c>
      <c r="F186" s="276">
        <v>32.58</v>
      </c>
      <c r="G186" s="276">
        <v>374.02800000000002</v>
      </c>
      <c r="H186" s="276">
        <v>0.108</v>
      </c>
      <c r="I186" s="276">
        <v>1.661</v>
      </c>
      <c r="J186" s="276">
        <v>104</v>
      </c>
      <c r="K186" s="276">
        <v>0.29399999999999998</v>
      </c>
      <c r="L186" s="276">
        <v>332.35</v>
      </c>
      <c r="M186" s="276">
        <v>374.32</v>
      </c>
      <c r="N186" s="276">
        <v>47.43</v>
      </c>
      <c r="O186" s="276">
        <v>0.95299999999999996</v>
      </c>
    </row>
    <row r="187" spans="1:15" s="277" customFormat="1" x14ac:dyDescent="0.25">
      <c r="A187" s="274" t="s">
        <v>22</v>
      </c>
      <c r="B187" s="275"/>
      <c r="C187" s="274"/>
      <c r="D187" s="276"/>
      <c r="E187" s="276"/>
      <c r="F187" s="276"/>
      <c r="G187" s="276"/>
      <c r="H187" s="276"/>
      <c r="I187" s="276"/>
      <c r="J187" s="276"/>
      <c r="K187" s="276"/>
      <c r="L187" s="276"/>
      <c r="M187" s="276"/>
      <c r="N187" s="276"/>
      <c r="O187" s="276"/>
    </row>
    <row r="188" spans="1:15" s="277" customFormat="1" x14ac:dyDescent="0.25">
      <c r="A188" s="274" t="s">
        <v>298</v>
      </c>
      <c r="B188" s="275" t="s">
        <v>299</v>
      </c>
      <c r="C188" s="274">
        <v>250</v>
      </c>
      <c r="D188" s="276">
        <v>2.7949999999999999</v>
      </c>
      <c r="E188" s="276">
        <v>5.8330000000000002</v>
      </c>
      <c r="F188" s="276">
        <v>13.926</v>
      </c>
      <c r="G188" s="276">
        <v>119.363</v>
      </c>
      <c r="H188" s="276">
        <v>0.158</v>
      </c>
      <c r="I188" s="276">
        <v>1</v>
      </c>
      <c r="J188" s="276">
        <v>12.5</v>
      </c>
      <c r="K188" s="276">
        <v>2.5310000000000001</v>
      </c>
      <c r="L188" s="276">
        <v>11.055999999999999</v>
      </c>
      <c r="M188" s="276">
        <v>31.957000000000001</v>
      </c>
      <c r="N188" s="276">
        <v>5.1020000000000003</v>
      </c>
      <c r="O188" s="276">
        <v>0.44400000000000001</v>
      </c>
    </row>
    <row r="189" spans="1:15" s="277" customFormat="1" ht="31.5" x14ac:dyDescent="0.25">
      <c r="A189" s="274" t="s">
        <v>341</v>
      </c>
      <c r="B189" s="275" t="s">
        <v>342</v>
      </c>
      <c r="C189" s="274">
        <v>90</v>
      </c>
      <c r="D189" s="276">
        <v>17.946000000000002</v>
      </c>
      <c r="E189" s="276">
        <v>14.555</v>
      </c>
      <c r="F189" s="276">
        <v>8.0760000000000005</v>
      </c>
      <c r="G189" s="276">
        <v>235.01499999999999</v>
      </c>
      <c r="H189" s="276">
        <v>0.13900000000000001</v>
      </c>
      <c r="I189" s="276">
        <v>0.12</v>
      </c>
      <c r="J189" s="276">
        <v>47</v>
      </c>
      <c r="K189" s="276">
        <v>2.738</v>
      </c>
      <c r="L189" s="276">
        <v>45.68</v>
      </c>
      <c r="M189" s="276">
        <v>193.61</v>
      </c>
      <c r="N189" s="276">
        <v>22.18</v>
      </c>
      <c r="O189" s="276">
        <v>2.5089999999999999</v>
      </c>
    </row>
    <row r="190" spans="1:15" s="277" customFormat="1" ht="31.5" x14ac:dyDescent="0.25">
      <c r="A190" s="274"/>
      <c r="B190" s="279" t="s">
        <v>371</v>
      </c>
      <c r="C190" s="278">
        <v>150</v>
      </c>
      <c r="D190" s="280">
        <v>2.2799999999999998</v>
      </c>
      <c r="E190" s="280">
        <v>3.9449999999999998</v>
      </c>
      <c r="F190" s="280">
        <v>23.745000000000001</v>
      </c>
      <c r="G190" s="280">
        <v>139.60499999999999</v>
      </c>
      <c r="H190" s="280">
        <v>2.5999999999999999E-2</v>
      </c>
      <c r="I190" s="280"/>
      <c r="J190" s="280">
        <v>20</v>
      </c>
      <c r="K190" s="280">
        <v>0.17799999999999999</v>
      </c>
      <c r="L190" s="280">
        <v>4.8460000000000001</v>
      </c>
      <c r="M190" s="280">
        <v>49.720999999999997</v>
      </c>
      <c r="N190" s="280">
        <v>16.065000000000001</v>
      </c>
      <c r="O190" s="280">
        <v>0.33900000000000002</v>
      </c>
    </row>
    <row r="191" spans="1:15" s="277" customFormat="1" x14ac:dyDescent="0.25">
      <c r="A191" s="274" t="s">
        <v>213</v>
      </c>
      <c r="B191" s="275" t="s">
        <v>107</v>
      </c>
      <c r="C191" s="274">
        <v>180</v>
      </c>
      <c r="D191" s="276">
        <v>0.70199999999999996</v>
      </c>
      <c r="E191" s="276">
        <v>5.3999999999999999E-2</v>
      </c>
      <c r="F191" s="276">
        <v>17.11</v>
      </c>
      <c r="G191" s="276">
        <v>72.78</v>
      </c>
      <c r="H191" s="276">
        <v>1.7999999999999999E-2</v>
      </c>
      <c r="I191" s="276">
        <v>0.72</v>
      </c>
      <c r="J191" s="276"/>
      <c r="K191" s="276">
        <v>0.99</v>
      </c>
      <c r="L191" s="276">
        <v>28.8</v>
      </c>
      <c r="M191" s="276">
        <v>26.28</v>
      </c>
      <c r="N191" s="276">
        <v>18.899999999999999</v>
      </c>
      <c r="O191" s="276">
        <v>0.6</v>
      </c>
    </row>
    <row r="192" spans="1:15" s="277" customFormat="1" x14ac:dyDescent="0.25">
      <c r="A192" s="274">
        <v>0</v>
      </c>
      <c r="B192" s="275" t="s">
        <v>84</v>
      </c>
      <c r="C192" s="274">
        <v>70</v>
      </c>
      <c r="D192" s="276">
        <v>5.53</v>
      </c>
      <c r="E192" s="276">
        <v>0.7</v>
      </c>
      <c r="F192" s="276">
        <v>33.81</v>
      </c>
      <c r="G192" s="276">
        <v>164.5</v>
      </c>
      <c r="H192" s="276">
        <v>0.112</v>
      </c>
      <c r="I192" s="276"/>
      <c r="J192" s="276"/>
      <c r="K192" s="276">
        <v>0.91</v>
      </c>
      <c r="L192" s="276">
        <v>16.100000000000001</v>
      </c>
      <c r="M192" s="276">
        <v>60.9</v>
      </c>
      <c r="N192" s="276">
        <v>23.1</v>
      </c>
      <c r="O192" s="276">
        <v>1.4</v>
      </c>
    </row>
    <row r="193" spans="1:15" s="277" customFormat="1" x14ac:dyDescent="0.25">
      <c r="A193" s="274">
        <v>0</v>
      </c>
      <c r="B193" s="275" t="s">
        <v>198</v>
      </c>
      <c r="C193" s="274">
        <v>100</v>
      </c>
      <c r="D193" s="276">
        <v>1.5</v>
      </c>
      <c r="E193" s="276">
        <v>0.5</v>
      </c>
      <c r="F193" s="276">
        <v>21</v>
      </c>
      <c r="G193" s="276">
        <v>96</v>
      </c>
      <c r="H193" s="276">
        <v>0.04</v>
      </c>
      <c r="I193" s="276">
        <v>10</v>
      </c>
      <c r="J193" s="276"/>
      <c r="K193" s="276">
        <v>0.4</v>
      </c>
      <c r="L193" s="276">
        <v>8</v>
      </c>
      <c r="M193" s="276">
        <v>28</v>
      </c>
      <c r="N193" s="276">
        <v>42</v>
      </c>
      <c r="O193" s="276">
        <v>0.6</v>
      </c>
    </row>
    <row r="194" spans="1:15" s="277" customFormat="1" x14ac:dyDescent="0.25">
      <c r="A194" s="278" t="s">
        <v>23</v>
      </c>
      <c r="B194" s="279"/>
      <c r="C194" s="278">
        <v>840</v>
      </c>
      <c r="D194" s="280">
        <v>30.753</v>
      </c>
      <c r="E194" s="280">
        <v>25.587</v>
      </c>
      <c r="F194" s="280">
        <v>117.667</v>
      </c>
      <c r="G194" s="280">
        <v>827.26300000000003</v>
      </c>
      <c r="H194" s="280">
        <v>0.49299999999999999</v>
      </c>
      <c r="I194" s="280">
        <v>11.84</v>
      </c>
      <c r="J194" s="280">
        <v>79.5</v>
      </c>
      <c r="K194" s="280">
        <v>7.7469999999999999</v>
      </c>
      <c r="L194" s="280">
        <v>114.482</v>
      </c>
      <c r="M194" s="280">
        <v>390.46800000000002</v>
      </c>
      <c r="N194" s="280">
        <v>127.34699999999999</v>
      </c>
      <c r="O194" s="280">
        <v>5.891</v>
      </c>
    </row>
    <row r="195" spans="1:15" s="277" customFormat="1" x14ac:dyDescent="0.25">
      <c r="A195" s="274" t="s">
        <v>24</v>
      </c>
      <c r="B195" s="275"/>
      <c r="C195" s="274"/>
      <c r="D195" s="276"/>
      <c r="E195" s="276"/>
      <c r="F195" s="276"/>
      <c r="G195" s="276"/>
      <c r="H195" s="276"/>
      <c r="I195" s="276"/>
      <c r="J195" s="276"/>
      <c r="K195" s="276"/>
      <c r="L195" s="276"/>
      <c r="M195" s="276"/>
      <c r="N195" s="276"/>
      <c r="O195" s="276"/>
    </row>
    <row r="196" spans="1:15" s="277" customFormat="1" x14ac:dyDescent="0.25">
      <c r="A196" s="274" t="s">
        <v>340</v>
      </c>
      <c r="B196" s="275" t="s">
        <v>244</v>
      </c>
      <c r="C196" s="274">
        <v>125</v>
      </c>
      <c r="D196" s="276">
        <v>21.08</v>
      </c>
      <c r="E196" s="276">
        <v>12.256</v>
      </c>
      <c r="F196" s="276">
        <v>19.079999999999998</v>
      </c>
      <c r="G196" s="276">
        <v>275.27800000000002</v>
      </c>
      <c r="H196" s="276">
        <v>7.0000000000000007E-2</v>
      </c>
      <c r="I196" s="276">
        <v>0.53600000000000003</v>
      </c>
      <c r="J196" s="276">
        <v>79</v>
      </c>
      <c r="K196" s="276">
        <v>0.29399999999999998</v>
      </c>
      <c r="L196" s="276">
        <v>181.1</v>
      </c>
      <c r="M196" s="276">
        <v>256.82</v>
      </c>
      <c r="N196" s="276">
        <v>28.68</v>
      </c>
      <c r="O196" s="276">
        <v>0.82799999999999996</v>
      </c>
    </row>
    <row r="197" spans="1:15" s="277" customFormat="1" x14ac:dyDescent="0.25">
      <c r="A197" s="274" t="s">
        <v>204</v>
      </c>
      <c r="B197" s="275" t="s">
        <v>219</v>
      </c>
      <c r="C197" s="274">
        <v>125</v>
      </c>
      <c r="D197" s="276">
        <v>3.375</v>
      </c>
      <c r="E197" s="276">
        <v>3.125</v>
      </c>
      <c r="F197" s="276">
        <v>13.5</v>
      </c>
      <c r="G197" s="276">
        <v>98.75</v>
      </c>
      <c r="H197" s="276">
        <v>3.7999999999999999E-2</v>
      </c>
      <c r="I197" s="276">
        <v>1.125</v>
      </c>
      <c r="J197" s="276">
        <v>25</v>
      </c>
      <c r="K197" s="276"/>
      <c r="L197" s="276">
        <v>151.25</v>
      </c>
      <c r="M197" s="276">
        <v>117.5</v>
      </c>
      <c r="N197" s="276">
        <v>18.75</v>
      </c>
      <c r="O197" s="276">
        <v>0.125</v>
      </c>
    </row>
    <row r="198" spans="1:15" s="277" customFormat="1" x14ac:dyDescent="0.25">
      <c r="A198" s="274" t="s">
        <v>25</v>
      </c>
      <c r="B198" s="275"/>
      <c r="C198" s="274">
        <v>250</v>
      </c>
      <c r="D198" s="276">
        <v>24.454999999999998</v>
      </c>
      <c r="E198" s="276">
        <v>15.381</v>
      </c>
      <c r="F198" s="276">
        <v>32.58</v>
      </c>
      <c r="G198" s="276">
        <v>374.02800000000002</v>
      </c>
      <c r="H198" s="276">
        <v>0.108</v>
      </c>
      <c r="I198" s="276">
        <v>1.661</v>
      </c>
      <c r="J198" s="276">
        <v>104</v>
      </c>
      <c r="K198" s="276">
        <v>0.29399999999999998</v>
      </c>
      <c r="L198" s="276">
        <v>332.35</v>
      </c>
      <c r="M198" s="276">
        <v>374.32</v>
      </c>
      <c r="N198" s="276">
        <v>47.43</v>
      </c>
      <c r="O198" s="276">
        <v>0.95299999999999996</v>
      </c>
    </row>
    <row r="199" spans="1:15" s="277" customFormat="1" x14ac:dyDescent="0.25">
      <c r="A199" s="274" t="s">
        <v>38</v>
      </c>
      <c r="B199" s="275"/>
      <c r="C199" s="278">
        <v>1990</v>
      </c>
      <c r="D199" s="280">
        <v>99.5</v>
      </c>
      <c r="E199" s="280">
        <v>63.401000000000003</v>
      </c>
      <c r="F199" s="280">
        <v>261.67099999999999</v>
      </c>
      <c r="G199" s="280">
        <v>2037.894</v>
      </c>
      <c r="H199" s="280">
        <v>1.111</v>
      </c>
      <c r="I199" s="280">
        <v>56.579000000000001</v>
      </c>
      <c r="J199" s="280">
        <v>322.8</v>
      </c>
      <c r="K199" s="280">
        <v>10.967000000000001</v>
      </c>
      <c r="L199" s="280">
        <v>910.52200000000005</v>
      </c>
      <c r="M199" s="280">
        <v>1508.9780000000001</v>
      </c>
      <c r="N199" s="280">
        <v>353.96699999999998</v>
      </c>
      <c r="O199" s="280">
        <v>14.881</v>
      </c>
    </row>
    <row r="200" spans="1:15" s="277" customFormat="1" x14ac:dyDescent="0.25">
      <c r="A200" s="274" t="s">
        <v>39</v>
      </c>
      <c r="B200" s="275"/>
      <c r="C200" s="274"/>
      <c r="D200" s="276"/>
      <c r="E200" s="276"/>
      <c r="F200" s="276"/>
      <c r="G200" s="276"/>
      <c r="H200" s="276"/>
      <c r="I200" s="276"/>
      <c r="J200" s="276"/>
      <c r="K200" s="276"/>
      <c r="L200" s="276"/>
      <c r="M200" s="276"/>
      <c r="N200" s="276"/>
      <c r="O200" s="276"/>
    </row>
    <row r="201" spans="1:15" s="277" customFormat="1" ht="31.5" x14ac:dyDescent="0.25">
      <c r="A201" s="274" t="s">
        <v>0</v>
      </c>
      <c r="B201" s="275" t="s">
        <v>1</v>
      </c>
      <c r="C201" s="274" t="s">
        <v>2</v>
      </c>
      <c r="D201" s="276" t="s">
        <v>3</v>
      </c>
      <c r="E201" s="276"/>
      <c r="F201" s="276"/>
      <c r="G201" s="276" t="s">
        <v>4</v>
      </c>
      <c r="H201" s="276" t="s">
        <v>5</v>
      </c>
      <c r="I201" s="276"/>
      <c r="J201" s="276"/>
      <c r="K201" s="276"/>
      <c r="L201" s="276" t="s">
        <v>6</v>
      </c>
      <c r="M201" s="276"/>
      <c r="N201" s="276"/>
      <c r="O201" s="276"/>
    </row>
    <row r="202" spans="1:15" s="277" customFormat="1" x14ac:dyDescent="0.25">
      <c r="A202" s="274"/>
      <c r="B202" s="275"/>
      <c r="C202" s="274"/>
      <c r="D202" s="276" t="s">
        <v>7</v>
      </c>
      <c r="E202" s="276" t="s">
        <v>8</v>
      </c>
      <c r="F202" s="276" t="s">
        <v>9</v>
      </c>
      <c r="G202" s="276"/>
      <c r="H202" s="276" t="s">
        <v>10</v>
      </c>
      <c r="I202" s="276" t="s">
        <v>11</v>
      </c>
      <c r="J202" s="276" t="s">
        <v>12</v>
      </c>
      <c r="K202" s="276" t="s">
        <v>13</v>
      </c>
      <c r="L202" s="276" t="s">
        <v>14</v>
      </c>
      <c r="M202" s="276" t="s">
        <v>15</v>
      </c>
      <c r="N202" s="276" t="s">
        <v>16</v>
      </c>
      <c r="O202" s="276" t="s">
        <v>17</v>
      </c>
    </row>
    <row r="203" spans="1:15" s="277" customFormat="1" x14ac:dyDescent="0.25">
      <c r="A203" s="274" t="s">
        <v>18</v>
      </c>
      <c r="B203" s="275"/>
      <c r="C203" s="274"/>
      <c r="D203" s="276"/>
      <c r="E203" s="276"/>
      <c r="F203" s="276"/>
      <c r="G203" s="276"/>
      <c r="H203" s="276"/>
      <c r="I203" s="276"/>
      <c r="J203" s="276"/>
      <c r="K203" s="276"/>
      <c r="L203" s="276"/>
      <c r="M203" s="276"/>
      <c r="N203" s="276"/>
      <c r="O203" s="276"/>
    </row>
    <row r="204" spans="1:15" s="277" customFormat="1" ht="31.5" x14ac:dyDescent="0.25">
      <c r="A204" s="274" t="s">
        <v>223</v>
      </c>
      <c r="B204" s="275" t="s">
        <v>224</v>
      </c>
      <c r="C204" s="274">
        <v>60</v>
      </c>
      <c r="D204" s="276">
        <v>2.1840000000000002</v>
      </c>
      <c r="E204" s="276">
        <v>5.61</v>
      </c>
      <c r="F204" s="276">
        <v>3.3119999999999998</v>
      </c>
      <c r="G204" s="276">
        <v>73.403999999999996</v>
      </c>
      <c r="H204" s="276">
        <v>3.1E-2</v>
      </c>
      <c r="I204" s="276">
        <v>2.448</v>
      </c>
      <c r="J204" s="276">
        <v>973.8</v>
      </c>
      <c r="K204" s="276">
        <v>1.982</v>
      </c>
      <c r="L204" s="276">
        <v>73.622</v>
      </c>
      <c r="M204" s="276">
        <v>65.015000000000001</v>
      </c>
      <c r="N204" s="276">
        <v>20.98</v>
      </c>
      <c r="O204" s="276">
        <v>0.40100000000000002</v>
      </c>
    </row>
    <row r="205" spans="1:15" s="277" customFormat="1" x14ac:dyDescent="0.25">
      <c r="A205" s="274">
        <v>278</v>
      </c>
      <c r="B205" s="275" t="s">
        <v>343</v>
      </c>
      <c r="C205" s="274">
        <v>60</v>
      </c>
      <c r="D205" s="276">
        <v>8.9440000000000008</v>
      </c>
      <c r="E205" s="276">
        <v>6.8929999999999998</v>
      </c>
      <c r="F205" s="276">
        <v>8.3000000000000007</v>
      </c>
      <c r="G205" s="276">
        <v>131.173</v>
      </c>
      <c r="H205" s="276">
        <v>7.8E-2</v>
      </c>
      <c r="I205" s="276">
        <v>2</v>
      </c>
      <c r="J205" s="276"/>
      <c r="K205" s="276">
        <v>1.6759999999999999</v>
      </c>
      <c r="L205" s="276">
        <v>15.86</v>
      </c>
      <c r="M205" s="276">
        <v>94.25</v>
      </c>
      <c r="N205" s="276">
        <v>14.66</v>
      </c>
      <c r="O205" s="276">
        <v>1.423</v>
      </c>
    </row>
    <row r="206" spans="1:15" s="277" customFormat="1" x14ac:dyDescent="0.25">
      <c r="A206" s="274">
        <v>330</v>
      </c>
      <c r="B206" s="275" t="s">
        <v>162</v>
      </c>
      <c r="C206" s="274">
        <v>50</v>
      </c>
      <c r="D206" s="276">
        <v>0.78300000000000003</v>
      </c>
      <c r="E206" s="276">
        <v>1.3520000000000001</v>
      </c>
      <c r="F206" s="276">
        <v>3.3029999999999999</v>
      </c>
      <c r="G206" s="276">
        <v>28.83</v>
      </c>
      <c r="H206" s="276">
        <v>3.5999999999999997E-2</v>
      </c>
      <c r="I206" s="276">
        <v>6.5000000000000002E-2</v>
      </c>
      <c r="J206" s="276">
        <v>8.4499999999999993</v>
      </c>
      <c r="K206" s="276">
        <v>9.9000000000000005E-2</v>
      </c>
      <c r="L206" s="276">
        <v>16.100000000000001</v>
      </c>
      <c r="M206" s="276">
        <v>12.25</v>
      </c>
      <c r="N206" s="276">
        <v>2.16</v>
      </c>
      <c r="O206" s="276">
        <v>0.09</v>
      </c>
    </row>
    <row r="207" spans="1:15" s="277" customFormat="1" x14ac:dyDescent="0.25">
      <c r="A207" s="274"/>
      <c r="B207" s="275" t="s">
        <v>359</v>
      </c>
      <c r="C207" s="274">
        <v>155</v>
      </c>
      <c r="D207" s="276">
        <v>4.7649999999999997</v>
      </c>
      <c r="E207" s="276">
        <v>4.8630000000000004</v>
      </c>
      <c r="F207" s="276">
        <v>21.478000000000002</v>
      </c>
      <c r="G207" s="276">
        <v>148.54499999999999</v>
      </c>
      <c r="H207" s="276">
        <v>0.16200000000000001</v>
      </c>
      <c r="I207" s="276"/>
      <c r="J207" s="276">
        <v>20</v>
      </c>
      <c r="K207" s="276">
        <v>0.35</v>
      </c>
      <c r="L207" s="276">
        <v>9.8219999999999992</v>
      </c>
      <c r="M207" s="276">
        <v>113.479</v>
      </c>
      <c r="N207" s="276">
        <v>75.066999999999993</v>
      </c>
      <c r="O207" s="276">
        <v>2.5310000000000001</v>
      </c>
    </row>
    <row r="208" spans="1:15" s="277" customFormat="1" ht="31.5" x14ac:dyDescent="0.25">
      <c r="A208" s="274"/>
      <c r="B208" s="275" t="s">
        <v>295</v>
      </c>
      <c r="C208" s="274">
        <v>180</v>
      </c>
      <c r="D208" s="276">
        <v>0.14399999999999999</v>
      </c>
      <c r="E208" s="276">
        <v>0.14399999999999999</v>
      </c>
      <c r="F208" s="276">
        <v>11.512</v>
      </c>
      <c r="G208" s="276">
        <v>48.841000000000001</v>
      </c>
      <c r="H208" s="276">
        <v>1.0999999999999999E-2</v>
      </c>
      <c r="I208" s="276">
        <v>3.609</v>
      </c>
      <c r="J208" s="276">
        <v>1.8</v>
      </c>
      <c r="K208" s="276">
        <v>7.1999999999999995E-2</v>
      </c>
      <c r="L208" s="276">
        <v>6.2060000000000004</v>
      </c>
      <c r="M208" s="276">
        <v>4.702</v>
      </c>
      <c r="N208" s="276">
        <v>3.6360000000000001</v>
      </c>
      <c r="O208" s="276">
        <v>0.89</v>
      </c>
    </row>
    <row r="209" spans="1:15" s="277" customFormat="1" x14ac:dyDescent="0.25">
      <c r="A209" s="274"/>
      <c r="B209" s="275" t="s">
        <v>84</v>
      </c>
      <c r="C209" s="274">
        <v>40</v>
      </c>
      <c r="D209" s="276">
        <v>3.16</v>
      </c>
      <c r="E209" s="276">
        <v>0.4</v>
      </c>
      <c r="F209" s="276">
        <v>19.32</v>
      </c>
      <c r="G209" s="276">
        <v>94</v>
      </c>
      <c r="H209" s="276">
        <v>6.4000000000000001E-2</v>
      </c>
      <c r="I209" s="276"/>
      <c r="J209" s="276"/>
      <c r="K209" s="276">
        <v>0.52</v>
      </c>
      <c r="L209" s="276">
        <v>9.1999999999999993</v>
      </c>
      <c r="M209" s="276">
        <v>34.799999999999997</v>
      </c>
      <c r="N209" s="276">
        <v>13.2</v>
      </c>
      <c r="O209" s="276">
        <v>0.8</v>
      </c>
    </row>
    <row r="210" spans="1:15" s="277" customFormat="1" x14ac:dyDescent="0.25">
      <c r="A210" s="274"/>
      <c r="B210" s="275" t="s">
        <v>344</v>
      </c>
      <c r="C210" s="274">
        <v>25</v>
      </c>
      <c r="D210" s="276">
        <v>1.875</v>
      </c>
      <c r="E210" s="276">
        <v>2.4500000000000002</v>
      </c>
      <c r="F210" s="276">
        <v>18.600000000000001</v>
      </c>
      <c r="G210" s="276">
        <v>104.25</v>
      </c>
      <c r="H210" s="276">
        <v>0.02</v>
      </c>
      <c r="I210" s="276"/>
      <c r="J210" s="276">
        <v>2.5</v>
      </c>
      <c r="K210" s="276"/>
      <c r="L210" s="276">
        <v>7.25</v>
      </c>
      <c r="M210" s="276">
        <v>22.5</v>
      </c>
      <c r="N210" s="276">
        <v>5</v>
      </c>
      <c r="O210" s="276">
        <v>0.52500000000000002</v>
      </c>
    </row>
    <row r="211" spans="1:15" s="277" customFormat="1" x14ac:dyDescent="0.25">
      <c r="A211" s="274" t="s">
        <v>19</v>
      </c>
      <c r="B211" s="275"/>
      <c r="C211" s="274">
        <v>570</v>
      </c>
      <c r="D211" s="276">
        <v>21.855</v>
      </c>
      <c r="E211" s="276">
        <v>21.712</v>
      </c>
      <c r="F211" s="276">
        <v>85.825000000000003</v>
      </c>
      <c r="G211" s="276">
        <v>629.04300000000001</v>
      </c>
      <c r="H211" s="276">
        <v>0.40100000000000002</v>
      </c>
      <c r="I211" s="276">
        <v>8.1219999999999999</v>
      </c>
      <c r="J211" s="276">
        <v>1006.55</v>
      </c>
      <c r="K211" s="276">
        <v>4.6989999999999998</v>
      </c>
      <c r="L211" s="276">
        <v>138.06</v>
      </c>
      <c r="M211" s="276">
        <v>346.995</v>
      </c>
      <c r="N211" s="276">
        <v>134.703</v>
      </c>
      <c r="O211" s="276">
        <v>6.66</v>
      </c>
    </row>
    <row r="212" spans="1:15" s="277" customFormat="1" x14ac:dyDescent="0.25">
      <c r="A212" s="274" t="s">
        <v>20</v>
      </c>
      <c r="B212" s="275"/>
      <c r="C212" s="274"/>
      <c r="D212" s="276"/>
      <c r="E212" s="276"/>
      <c r="F212" s="276"/>
      <c r="G212" s="276"/>
      <c r="H212" s="276"/>
      <c r="I212" s="276"/>
      <c r="J212" s="276"/>
      <c r="K212" s="276"/>
      <c r="L212" s="276"/>
      <c r="M212" s="276"/>
      <c r="N212" s="276"/>
      <c r="O212" s="276"/>
    </row>
    <row r="213" spans="1:15" s="277" customFormat="1" x14ac:dyDescent="0.25">
      <c r="A213" s="274" t="s">
        <v>326</v>
      </c>
      <c r="B213" s="275" t="s">
        <v>239</v>
      </c>
      <c r="C213" s="274">
        <v>125</v>
      </c>
      <c r="D213" s="276">
        <v>6.2140000000000004</v>
      </c>
      <c r="E213" s="276">
        <v>2.3660000000000001</v>
      </c>
      <c r="F213" s="276">
        <v>13.522</v>
      </c>
      <c r="G213" s="276">
        <v>100.238</v>
      </c>
      <c r="H213" s="276">
        <v>1.9E-2</v>
      </c>
      <c r="I213" s="276">
        <v>0.56399999999999995</v>
      </c>
      <c r="J213" s="276">
        <v>9.4</v>
      </c>
      <c r="K213" s="276"/>
      <c r="L213" s="276">
        <v>112.8</v>
      </c>
      <c r="M213" s="276">
        <v>84.6</v>
      </c>
      <c r="N213" s="276">
        <v>13.16</v>
      </c>
      <c r="O213" s="276">
        <v>0.121</v>
      </c>
    </row>
    <row r="214" spans="1:15" s="277" customFormat="1" x14ac:dyDescent="0.25">
      <c r="A214" s="274" t="s">
        <v>204</v>
      </c>
      <c r="B214" s="275" t="s">
        <v>219</v>
      </c>
      <c r="C214" s="274">
        <v>125</v>
      </c>
      <c r="D214" s="276">
        <v>3.375</v>
      </c>
      <c r="E214" s="276">
        <v>3.125</v>
      </c>
      <c r="F214" s="276">
        <v>13.5</v>
      </c>
      <c r="G214" s="276">
        <v>98.75</v>
      </c>
      <c r="H214" s="276">
        <v>3.7999999999999999E-2</v>
      </c>
      <c r="I214" s="276">
        <v>1.125</v>
      </c>
      <c r="J214" s="276">
        <v>25</v>
      </c>
      <c r="K214" s="276"/>
      <c r="L214" s="276">
        <v>151.25</v>
      </c>
      <c r="M214" s="276">
        <v>117.5</v>
      </c>
      <c r="N214" s="276">
        <v>18.75</v>
      </c>
      <c r="O214" s="276">
        <v>0.125</v>
      </c>
    </row>
    <row r="215" spans="1:15" s="277" customFormat="1" x14ac:dyDescent="0.25">
      <c r="A215" s="274" t="s">
        <v>21</v>
      </c>
      <c r="B215" s="275"/>
      <c r="C215" s="274">
        <v>250</v>
      </c>
      <c r="D215" s="276">
        <v>9.5890000000000004</v>
      </c>
      <c r="E215" s="276">
        <v>5.4909999999999997</v>
      </c>
      <c r="F215" s="276">
        <v>27.021999999999998</v>
      </c>
      <c r="G215" s="276">
        <v>198.988</v>
      </c>
      <c r="H215" s="276">
        <v>5.6000000000000001E-2</v>
      </c>
      <c r="I215" s="276">
        <v>1.6890000000000001</v>
      </c>
      <c r="J215" s="276">
        <v>34.4</v>
      </c>
      <c r="K215" s="276"/>
      <c r="L215" s="276">
        <v>264.05</v>
      </c>
      <c r="M215" s="276">
        <v>202.1</v>
      </c>
      <c r="N215" s="276">
        <v>31.91</v>
      </c>
      <c r="O215" s="276">
        <v>0.246</v>
      </c>
    </row>
    <row r="216" spans="1:15" s="277" customFormat="1" x14ac:dyDescent="0.25">
      <c r="A216" s="274" t="s">
        <v>22</v>
      </c>
      <c r="B216" s="275"/>
      <c r="C216" s="274"/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</row>
    <row r="217" spans="1:15" s="277" customFormat="1" x14ac:dyDescent="0.25">
      <c r="A217" s="274" t="s">
        <v>248</v>
      </c>
      <c r="B217" s="275" t="s">
        <v>249</v>
      </c>
      <c r="C217" s="274">
        <v>60</v>
      </c>
      <c r="D217" s="276">
        <v>1.5489999999999999</v>
      </c>
      <c r="E217" s="276">
        <v>4.0629999999999997</v>
      </c>
      <c r="F217" s="276">
        <v>8.7100000000000009</v>
      </c>
      <c r="G217" s="276">
        <v>78.664000000000001</v>
      </c>
      <c r="H217" s="276">
        <v>3.6999999999999998E-2</v>
      </c>
      <c r="I217" s="276">
        <v>12.35</v>
      </c>
      <c r="J217" s="276"/>
      <c r="K217" s="276">
        <v>1.9770000000000001</v>
      </c>
      <c r="L217" s="276">
        <v>26.74</v>
      </c>
      <c r="M217" s="276">
        <v>36.76</v>
      </c>
      <c r="N217" s="276">
        <v>19.16</v>
      </c>
      <c r="O217" s="276">
        <v>1.095</v>
      </c>
    </row>
    <row r="218" spans="1:15" s="277" customFormat="1" x14ac:dyDescent="0.25">
      <c r="A218" s="274" t="s">
        <v>345</v>
      </c>
      <c r="B218" s="275" t="s">
        <v>346</v>
      </c>
      <c r="C218" s="274">
        <v>250</v>
      </c>
      <c r="D218" s="276">
        <v>2.4700000000000002</v>
      </c>
      <c r="E218" s="276">
        <v>5.2850000000000001</v>
      </c>
      <c r="F218" s="276">
        <v>15.61</v>
      </c>
      <c r="G218" s="276">
        <v>120.155</v>
      </c>
      <c r="H218" s="276">
        <v>4.4999999999999998E-2</v>
      </c>
      <c r="I218" s="276">
        <v>1.5</v>
      </c>
      <c r="J218" s="276">
        <v>200</v>
      </c>
      <c r="K218" s="276">
        <v>2.56</v>
      </c>
      <c r="L218" s="276">
        <v>12.36</v>
      </c>
      <c r="M218" s="276">
        <v>29.363</v>
      </c>
      <c r="N218" s="276">
        <v>8.5649999999999995</v>
      </c>
      <c r="O218" s="276">
        <v>0.49199999999999999</v>
      </c>
    </row>
    <row r="219" spans="1:15" s="277" customFormat="1" x14ac:dyDescent="0.25">
      <c r="A219" s="274" t="s">
        <v>347</v>
      </c>
      <c r="B219" s="275" t="s">
        <v>348</v>
      </c>
      <c r="C219" s="274">
        <v>80</v>
      </c>
      <c r="D219" s="276">
        <v>10.481999999999999</v>
      </c>
      <c r="E219" s="276">
        <v>0.56999999999999995</v>
      </c>
      <c r="F219" s="276">
        <v>12.162000000000001</v>
      </c>
      <c r="G219" s="276">
        <v>95.87</v>
      </c>
      <c r="H219" s="276">
        <v>8.8999999999999996E-2</v>
      </c>
      <c r="I219" s="276">
        <v>0.53</v>
      </c>
      <c r="J219" s="276">
        <v>5.3</v>
      </c>
      <c r="K219" s="276">
        <v>0.81100000000000005</v>
      </c>
      <c r="L219" s="276">
        <v>22.63</v>
      </c>
      <c r="M219" s="276">
        <v>134.15</v>
      </c>
      <c r="N219" s="276">
        <v>24.5</v>
      </c>
      <c r="O219" s="276">
        <v>0.83799999999999997</v>
      </c>
    </row>
    <row r="220" spans="1:15" s="277" customFormat="1" x14ac:dyDescent="0.25">
      <c r="A220" s="274" t="s">
        <v>338</v>
      </c>
      <c r="B220" s="275" t="s">
        <v>162</v>
      </c>
      <c r="C220" s="274">
        <v>30</v>
      </c>
      <c r="D220" s="276">
        <v>0.42399999999999999</v>
      </c>
      <c r="E220" s="276">
        <v>1.226</v>
      </c>
      <c r="F220" s="276">
        <v>1.6859999999999999</v>
      </c>
      <c r="G220" s="276">
        <v>19.64</v>
      </c>
      <c r="H220" s="276">
        <v>1.7999999999999999E-2</v>
      </c>
      <c r="I220" s="276">
        <v>3.2000000000000001E-2</v>
      </c>
      <c r="J220" s="276">
        <v>8</v>
      </c>
      <c r="K220" s="276">
        <v>5.3999999999999999E-2</v>
      </c>
      <c r="L220" s="276">
        <v>7.4</v>
      </c>
      <c r="M220" s="276">
        <v>6.6</v>
      </c>
      <c r="N220" s="276">
        <v>1.04</v>
      </c>
      <c r="O220" s="276">
        <v>0.04</v>
      </c>
    </row>
    <row r="221" spans="1:15" s="277" customFormat="1" x14ac:dyDescent="0.25">
      <c r="A221" s="274" t="s">
        <v>349</v>
      </c>
      <c r="B221" s="275" t="s">
        <v>339</v>
      </c>
      <c r="C221" s="274">
        <v>150</v>
      </c>
      <c r="D221" s="276">
        <v>2.98</v>
      </c>
      <c r="E221" s="276">
        <v>4.2130000000000001</v>
      </c>
      <c r="F221" s="276">
        <v>24.026</v>
      </c>
      <c r="G221" s="276">
        <v>146.23500000000001</v>
      </c>
      <c r="H221" s="276">
        <v>0.17699999999999999</v>
      </c>
      <c r="I221" s="276">
        <v>29.4</v>
      </c>
      <c r="J221" s="276">
        <v>20</v>
      </c>
      <c r="K221" s="276">
        <v>0.19700000000000001</v>
      </c>
      <c r="L221" s="276">
        <v>19.579999999999998</v>
      </c>
      <c r="M221" s="276">
        <v>87.51</v>
      </c>
      <c r="N221" s="276">
        <v>34.03</v>
      </c>
      <c r="O221" s="276">
        <v>1.3620000000000001</v>
      </c>
    </row>
    <row r="222" spans="1:15" s="277" customFormat="1" x14ac:dyDescent="0.25">
      <c r="A222" s="274" t="s">
        <v>311</v>
      </c>
      <c r="B222" s="275" t="s">
        <v>107</v>
      </c>
      <c r="C222" s="274">
        <v>180</v>
      </c>
      <c r="D222" s="276">
        <v>0.70199999999999996</v>
      </c>
      <c r="E222" s="276">
        <v>5.3999999999999999E-2</v>
      </c>
      <c r="F222" s="276">
        <v>23.097999999999999</v>
      </c>
      <c r="G222" s="276">
        <v>96.72</v>
      </c>
      <c r="H222" s="276">
        <v>1.7999999999999999E-2</v>
      </c>
      <c r="I222" s="276">
        <v>0.72</v>
      </c>
      <c r="J222" s="276"/>
      <c r="K222" s="276">
        <v>0.99</v>
      </c>
      <c r="L222" s="276">
        <v>28.8</v>
      </c>
      <c r="M222" s="276">
        <v>26.28</v>
      </c>
      <c r="N222" s="276">
        <v>18.899999999999999</v>
      </c>
      <c r="O222" s="276">
        <v>0.61799999999999999</v>
      </c>
    </row>
    <row r="223" spans="1:15" s="277" customFormat="1" x14ac:dyDescent="0.25">
      <c r="A223" s="274">
        <v>0</v>
      </c>
      <c r="B223" s="275" t="s">
        <v>84</v>
      </c>
      <c r="C223" s="274">
        <v>70</v>
      </c>
      <c r="D223" s="276">
        <v>5.53</v>
      </c>
      <c r="E223" s="276">
        <v>0.7</v>
      </c>
      <c r="F223" s="276">
        <v>33.81</v>
      </c>
      <c r="G223" s="276">
        <v>164.5</v>
      </c>
      <c r="H223" s="276">
        <v>0.112</v>
      </c>
      <c r="I223" s="276"/>
      <c r="J223" s="276"/>
      <c r="K223" s="276">
        <v>0.91</v>
      </c>
      <c r="L223" s="276">
        <v>16.100000000000001</v>
      </c>
      <c r="M223" s="276">
        <v>60.9</v>
      </c>
      <c r="N223" s="276">
        <v>23.1</v>
      </c>
      <c r="O223" s="276">
        <v>1.4</v>
      </c>
    </row>
    <row r="224" spans="1:15" s="277" customFormat="1" x14ac:dyDescent="0.25">
      <c r="A224" s="274" t="s">
        <v>23</v>
      </c>
      <c r="B224" s="275"/>
      <c r="C224" s="274">
        <v>820</v>
      </c>
      <c r="D224" s="276">
        <v>24.137</v>
      </c>
      <c r="E224" s="276">
        <v>16.111000000000001</v>
      </c>
      <c r="F224" s="276">
        <v>119.102</v>
      </c>
      <c r="G224" s="276">
        <v>721.78399999999999</v>
      </c>
      <c r="H224" s="276">
        <v>0.496</v>
      </c>
      <c r="I224" s="276">
        <v>44.531999999999996</v>
      </c>
      <c r="J224" s="276">
        <v>233.3</v>
      </c>
      <c r="K224" s="276">
        <v>7.4989999999999997</v>
      </c>
      <c r="L224" s="276">
        <v>133.61000000000001</v>
      </c>
      <c r="M224" s="276">
        <v>381.56299999999999</v>
      </c>
      <c r="N224" s="276">
        <v>129.29499999999999</v>
      </c>
      <c r="O224" s="276">
        <v>5.8449999999999998</v>
      </c>
    </row>
    <row r="225" spans="1:15" s="277" customFormat="1" x14ac:dyDescent="0.25">
      <c r="A225" s="274" t="s">
        <v>24</v>
      </c>
      <c r="B225" s="275"/>
      <c r="C225" s="274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</row>
    <row r="226" spans="1:15" s="277" customFormat="1" x14ac:dyDescent="0.25">
      <c r="A226" s="274" t="s">
        <v>326</v>
      </c>
      <c r="B226" s="275" t="s">
        <v>239</v>
      </c>
      <c r="C226" s="274">
        <v>125</v>
      </c>
      <c r="D226" s="276">
        <v>6.2140000000000004</v>
      </c>
      <c r="E226" s="276">
        <v>2.3660000000000001</v>
      </c>
      <c r="F226" s="276">
        <v>13.522</v>
      </c>
      <c r="G226" s="276">
        <v>100.238</v>
      </c>
      <c r="H226" s="276">
        <v>1.9E-2</v>
      </c>
      <c r="I226" s="276">
        <v>0.56399999999999995</v>
      </c>
      <c r="J226" s="276">
        <v>9.4</v>
      </c>
      <c r="K226" s="276"/>
      <c r="L226" s="276">
        <v>112.8</v>
      </c>
      <c r="M226" s="276">
        <v>84.6</v>
      </c>
      <c r="N226" s="276">
        <v>13.16</v>
      </c>
      <c r="O226" s="276">
        <v>0.121</v>
      </c>
    </row>
    <row r="227" spans="1:15" s="277" customFormat="1" x14ac:dyDescent="0.25">
      <c r="A227" s="274" t="s">
        <v>204</v>
      </c>
      <c r="B227" s="275" t="s">
        <v>219</v>
      </c>
      <c r="C227" s="274">
        <v>125</v>
      </c>
      <c r="D227" s="276">
        <v>3.375</v>
      </c>
      <c r="E227" s="276">
        <v>3.125</v>
      </c>
      <c r="F227" s="276">
        <v>13.5</v>
      </c>
      <c r="G227" s="276">
        <v>98.75</v>
      </c>
      <c r="H227" s="276">
        <v>3.7999999999999999E-2</v>
      </c>
      <c r="I227" s="276">
        <v>1.125</v>
      </c>
      <c r="J227" s="276">
        <v>25</v>
      </c>
      <c r="K227" s="276"/>
      <c r="L227" s="276">
        <v>151.25</v>
      </c>
      <c r="M227" s="276">
        <v>117.5</v>
      </c>
      <c r="N227" s="276">
        <v>18.75</v>
      </c>
      <c r="O227" s="276">
        <v>0.125</v>
      </c>
    </row>
    <row r="228" spans="1:15" s="277" customFormat="1" x14ac:dyDescent="0.25">
      <c r="A228" s="274" t="s">
        <v>25</v>
      </c>
      <c r="B228" s="275"/>
      <c r="C228" s="274">
        <v>250</v>
      </c>
      <c r="D228" s="276">
        <v>9.5890000000000004</v>
      </c>
      <c r="E228" s="276">
        <v>5.4909999999999997</v>
      </c>
      <c r="F228" s="276">
        <v>27.021999999999998</v>
      </c>
      <c r="G228" s="276">
        <v>198.988</v>
      </c>
      <c r="H228" s="276">
        <v>5.6000000000000001E-2</v>
      </c>
      <c r="I228" s="276">
        <v>1.6890000000000001</v>
      </c>
      <c r="J228" s="276">
        <v>34.4</v>
      </c>
      <c r="K228" s="276"/>
      <c r="L228" s="276">
        <v>264.05</v>
      </c>
      <c r="M228" s="276">
        <v>202.1</v>
      </c>
      <c r="N228" s="276">
        <v>31.91</v>
      </c>
      <c r="O228" s="276">
        <v>0.246</v>
      </c>
    </row>
    <row r="229" spans="1:15" s="277" customFormat="1" x14ac:dyDescent="0.25">
      <c r="A229" s="274" t="s">
        <v>40</v>
      </c>
      <c r="B229" s="275"/>
      <c r="C229" s="274">
        <v>1890</v>
      </c>
      <c r="D229" s="276">
        <v>65.17</v>
      </c>
      <c r="E229" s="276">
        <v>48.805</v>
      </c>
      <c r="F229" s="276">
        <v>258.971</v>
      </c>
      <c r="G229" s="276">
        <v>1748.8030000000001</v>
      </c>
      <c r="H229" s="276">
        <v>1.0089999999999999</v>
      </c>
      <c r="I229" s="276">
        <v>56.031999999999996</v>
      </c>
      <c r="J229" s="276">
        <v>1308.6500000000001</v>
      </c>
      <c r="K229" s="276">
        <v>12.198</v>
      </c>
      <c r="L229" s="276">
        <v>799.77</v>
      </c>
      <c r="M229" s="276">
        <v>1132.758</v>
      </c>
      <c r="N229" s="276">
        <v>327.81799999999998</v>
      </c>
      <c r="O229" s="276">
        <v>12.997</v>
      </c>
    </row>
    <row r="230" spans="1:15" s="277" customFormat="1" x14ac:dyDescent="0.25">
      <c r="A230" s="274" t="s">
        <v>41</v>
      </c>
      <c r="B230" s="275"/>
      <c r="C230" s="274"/>
      <c r="D230" s="276"/>
      <c r="E230" s="276"/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</row>
    <row r="231" spans="1:15" s="277" customFormat="1" ht="31.5" x14ac:dyDescent="0.25">
      <c r="A231" s="274" t="s">
        <v>0</v>
      </c>
      <c r="B231" s="275" t="s">
        <v>1</v>
      </c>
      <c r="C231" s="274" t="s">
        <v>2</v>
      </c>
      <c r="D231" s="276" t="s">
        <v>3</v>
      </c>
      <c r="E231" s="276"/>
      <c r="F231" s="276"/>
      <c r="G231" s="276" t="s">
        <v>4</v>
      </c>
      <c r="H231" s="276" t="s">
        <v>5</v>
      </c>
      <c r="I231" s="276"/>
      <c r="J231" s="276"/>
      <c r="K231" s="276"/>
      <c r="L231" s="276" t="s">
        <v>6</v>
      </c>
      <c r="M231" s="276"/>
      <c r="N231" s="276"/>
      <c r="O231" s="276"/>
    </row>
    <row r="232" spans="1:15" s="277" customFormat="1" x14ac:dyDescent="0.25">
      <c r="A232" s="274"/>
      <c r="B232" s="275"/>
      <c r="C232" s="274"/>
      <c r="D232" s="276" t="s">
        <v>7</v>
      </c>
      <c r="E232" s="276" t="s">
        <v>8</v>
      </c>
      <c r="F232" s="276" t="s">
        <v>9</v>
      </c>
      <c r="G232" s="276"/>
      <c r="H232" s="276" t="s">
        <v>10</v>
      </c>
      <c r="I232" s="276" t="s">
        <v>11</v>
      </c>
      <c r="J232" s="276" t="s">
        <v>12</v>
      </c>
      <c r="K232" s="276" t="s">
        <v>13</v>
      </c>
      <c r="L232" s="276" t="s">
        <v>14</v>
      </c>
      <c r="M232" s="276" t="s">
        <v>15</v>
      </c>
      <c r="N232" s="276" t="s">
        <v>16</v>
      </c>
      <c r="O232" s="276" t="s">
        <v>17</v>
      </c>
    </row>
    <row r="233" spans="1:15" s="277" customFormat="1" x14ac:dyDescent="0.25">
      <c r="A233" s="274" t="s">
        <v>18</v>
      </c>
      <c r="B233" s="275"/>
      <c r="C233" s="274"/>
      <c r="D233" s="276"/>
      <c r="E233" s="276"/>
      <c r="F233" s="276"/>
      <c r="G233" s="276"/>
      <c r="H233" s="276"/>
      <c r="I233" s="276"/>
      <c r="J233" s="276"/>
      <c r="K233" s="276"/>
      <c r="L233" s="276"/>
      <c r="M233" s="276"/>
      <c r="N233" s="276"/>
      <c r="O233" s="276"/>
    </row>
    <row r="234" spans="1:15" s="277" customFormat="1" x14ac:dyDescent="0.25">
      <c r="A234" s="274" t="s">
        <v>379</v>
      </c>
      <c r="B234" s="275" t="s">
        <v>350</v>
      </c>
      <c r="C234" s="274">
        <v>160</v>
      </c>
      <c r="D234" s="276">
        <v>25.152000000000001</v>
      </c>
      <c r="E234" s="276">
        <v>16.553000000000001</v>
      </c>
      <c r="F234" s="276">
        <v>39.69</v>
      </c>
      <c r="G234" s="276">
        <v>414.14699999999999</v>
      </c>
      <c r="H234" s="276">
        <v>0.112</v>
      </c>
      <c r="I234" s="276">
        <v>0.63300000000000001</v>
      </c>
      <c r="J234" s="276">
        <v>102.5</v>
      </c>
      <c r="K234" s="276">
        <v>0.5</v>
      </c>
      <c r="L234" s="276">
        <v>226.47</v>
      </c>
      <c r="M234" s="276">
        <v>323.01</v>
      </c>
      <c r="N234" s="276">
        <v>41.35</v>
      </c>
      <c r="O234" s="276">
        <v>1.5249999999999999</v>
      </c>
    </row>
    <row r="235" spans="1:15" s="277" customFormat="1" x14ac:dyDescent="0.25">
      <c r="A235" s="274"/>
      <c r="B235" s="275" t="s">
        <v>351</v>
      </c>
      <c r="C235" s="274">
        <v>15</v>
      </c>
      <c r="D235" s="276">
        <v>1.08</v>
      </c>
      <c r="E235" s="276">
        <v>1.2749999999999999</v>
      </c>
      <c r="F235" s="276">
        <v>8.3249999999999993</v>
      </c>
      <c r="G235" s="276">
        <v>49.2</v>
      </c>
      <c r="H235" s="276">
        <v>8.9999999999999993E-3</v>
      </c>
      <c r="I235" s="276">
        <v>0.15</v>
      </c>
      <c r="J235" s="276">
        <v>6.3</v>
      </c>
      <c r="K235" s="276"/>
      <c r="L235" s="276">
        <v>46.05</v>
      </c>
      <c r="M235" s="276">
        <v>32.85</v>
      </c>
      <c r="N235" s="276">
        <v>5.0999999999999996</v>
      </c>
      <c r="O235" s="276">
        <v>0.03</v>
      </c>
    </row>
    <row r="236" spans="1:15" s="277" customFormat="1" x14ac:dyDescent="0.25">
      <c r="A236" s="274"/>
      <c r="B236" s="275" t="s">
        <v>84</v>
      </c>
      <c r="C236" s="274">
        <v>40</v>
      </c>
      <c r="D236" s="276">
        <v>3.16</v>
      </c>
      <c r="E236" s="276">
        <v>0.4</v>
      </c>
      <c r="F236" s="276">
        <v>19.32</v>
      </c>
      <c r="G236" s="276">
        <v>94</v>
      </c>
      <c r="H236" s="276">
        <v>6.4000000000000001E-2</v>
      </c>
      <c r="I236" s="276"/>
      <c r="J236" s="276"/>
      <c r="K236" s="276">
        <v>0.52</v>
      </c>
      <c r="L236" s="276">
        <v>9.1999999999999993</v>
      </c>
      <c r="M236" s="276">
        <v>34.799999999999997</v>
      </c>
      <c r="N236" s="276">
        <v>13.2</v>
      </c>
      <c r="O236" s="276">
        <v>0.8</v>
      </c>
    </row>
    <row r="237" spans="1:15" s="277" customFormat="1" x14ac:dyDescent="0.25">
      <c r="A237" s="274" t="s">
        <v>199</v>
      </c>
      <c r="B237" s="275" t="s">
        <v>83</v>
      </c>
      <c r="C237" s="274">
        <v>180</v>
      </c>
      <c r="D237" s="276">
        <v>3.59</v>
      </c>
      <c r="E237" s="276">
        <v>2.85</v>
      </c>
      <c r="F237" s="276">
        <v>14.708</v>
      </c>
      <c r="G237" s="276">
        <v>100.06</v>
      </c>
      <c r="H237" s="276">
        <v>2.1999999999999999E-2</v>
      </c>
      <c r="I237" s="276">
        <v>0.54</v>
      </c>
      <c r="J237" s="276">
        <v>9.1199999999999992</v>
      </c>
      <c r="K237" s="276">
        <v>1.2E-2</v>
      </c>
      <c r="L237" s="276">
        <v>113.12</v>
      </c>
      <c r="M237" s="276">
        <v>107.2</v>
      </c>
      <c r="N237" s="276">
        <v>29.6</v>
      </c>
      <c r="O237" s="276">
        <v>1</v>
      </c>
    </row>
    <row r="238" spans="1:15" s="277" customFormat="1" x14ac:dyDescent="0.25">
      <c r="A238" s="278"/>
      <c r="B238" s="279" t="s">
        <v>198</v>
      </c>
      <c r="C238" s="278">
        <v>180</v>
      </c>
      <c r="D238" s="280">
        <v>2.7</v>
      </c>
      <c r="E238" s="280">
        <v>0.9</v>
      </c>
      <c r="F238" s="280">
        <v>37.799999999999997</v>
      </c>
      <c r="G238" s="280">
        <v>172.8</v>
      </c>
      <c r="H238" s="280">
        <v>7.1999999999999995E-2</v>
      </c>
      <c r="I238" s="280">
        <v>18</v>
      </c>
      <c r="J238" s="280"/>
      <c r="K238" s="280">
        <v>0.72</v>
      </c>
      <c r="L238" s="280">
        <v>14.4</v>
      </c>
      <c r="M238" s="280">
        <v>50.4</v>
      </c>
      <c r="N238" s="280">
        <v>75.599999999999994</v>
      </c>
      <c r="O238" s="280">
        <v>1.08</v>
      </c>
    </row>
    <row r="239" spans="1:15" s="277" customFormat="1" x14ac:dyDescent="0.25">
      <c r="A239" s="278" t="s">
        <v>19</v>
      </c>
      <c r="B239" s="279"/>
      <c r="C239" s="278">
        <v>575</v>
      </c>
      <c r="D239" s="280">
        <v>35.682000000000002</v>
      </c>
      <c r="E239" s="280">
        <v>21.978000000000002</v>
      </c>
      <c r="F239" s="280">
        <v>119.843</v>
      </c>
      <c r="G239" s="280">
        <v>830.20699999999999</v>
      </c>
      <c r="H239" s="280">
        <v>0.27900000000000003</v>
      </c>
      <c r="I239" s="280">
        <v>19.323</v>
      </c>
      <c r="J239" s="280">
        <v>117.92</v>
      </c>
      <c r="K239" s="280">
        <v>1.752</v>
      </c>
      <c r="L239" s="280">
        <v>409.24</v>
      </c>
      <c r="M239" s="280">
        <v>548.26</v>
      </c>
      <c r="N239" s="280">
        <v>164.85</v>
      </c>
      <c r="O239" s="280">
        <v>4.4349999999999996</v>
      </c>
    </row>
    <row r="240" spans="1:15" s="277" customFormat="1" x14ac:dyDescent="0.25">
      <c r="A240" s="274" t="s">
        <v>20</v>
      </c>
      <c r="B240" s="275"/>
      <c r="C240" s="274"/>
      <c r="D240" s="276"/>
      <c r="E240" s="276"/>
      <c r="F240" s="276"/>
      <c r="G240" s="276"/>
      <c r="H240" s="276"/>
      <c r="I240" s="276"/>
      <c r="J240" s="276"/>
      <c r="K240" s="276"/>
      <c r="L240" s="276"/>
      <c r="M240" s="276"/>
      <c r="N240" s="276"/>
      <c r="O240" s="276"/>
    </row>
    <row r="241" spans="1:15" s="277" customFormat="1" x14ac:dyDescent="0.25">
      <c r="A241" s="274" t="s">
        <v>297</v>
      </c>
      <c r="B241" s="275" t="s">
        <v>202</v>
      </c>
      <c r="C241" s="274">
        <v>125</v>
      </c>
      <c r="D241" s="276">
        <v>19.122</v>
      </c>
      <c r="E241" s="276">
        <v>12.287000000000001</v>
      </c>
      <c r="F241" s="276">
        <v>18.23</v>
      </c>
      <c r="G241" s="276">
        <v>263.59199999999998</v>
      </c>
      <c r="H241" s="276">
        <v>0.121</v>
      </c>
      <c r="I241" s="276">
        <v>0.58799999999999997</v>
      </c>
      <c r="J241" s="276">
        <v>90.75</v>
      </c>
      <c r="K241" s="276">
        <v>0.24299999999999999</v>
      </c>
      <c r="L241" s="276">
        <v>184.37</v>
      </c>
      <c r="M241" s="276">
        <v>248.881</v>
      </c>
      <c r="N241" s="276">
        <v>26.707999999999998</v>
      </c>
      <c r="O241" s="276">
        <v>0.84899999999999998</v>
      </c>
    </row>
    <row r="242" spans="1:15" s="277" customFormat="1" x14ac:dyDescent="0.25">
      <c r="A242" s="274" t="s">
        <v>204</v>
      </c>
      <c r="B242" s="275" t="s">
        <v>219</v>
      </c>
      <c r="C242" s="274">
        <v>125</v>
      </c>
      <c r="D242" s="276">
        <v>3.375</v>
      </c>
      <c r="E242" s="276">
        <v>3.125</v>
      </c>
      <c r="F242" s="276">
        <v>13.5</v>
      </c>
      <c r="G242" s="276">
        <v>98.75</v>
      </c>
      <c r="H242" s="276">
        <v>3.7999999999999999E-2</v>
      </c>
      <c r="I242" s="276">
        <v>1.125</v>
      </c>
      <c r="J242" s="276">
        <v>25</v>
      </c>
      <c r="K242" s="276"/>
      <c r="L242" s="276">
        <v>151.25</v>
      </c>
      <c r="M242" s="276">
        <v>117.5</v>
      </c>
      <c r="N242" s="276">
        <v>18.75</v>
      </c>
      <c r="O242" s="276">
        <v>0.125</v>
      </c>
    </row>
    <row r="243" spans="1:15" s="277" customFormat="1" x14ac:dyDescent="0.25">
      <c r="A243" s="274" t="s">
        <v>21</v>
      </c>
      <c r="B243" s="275"/>
      <c r="C243" s="274">
        <v>250</v>
      </c>
      <c r="D243" s="276">
        <v>22.497</v>
      </c>
      <c r="E243" s="276">
        <v>15.412000000000001</v>
      </c>
      <c r="F243" s="276">
        <v>31.73</v>
      </c>
      <c r="G243" s="276">
        <v>362.34199999999998</v>
      </c>
      <c r="H243" s="276">
        <v>0.159</v>
      </c>
      <c r="I243" s="276">
        <v>1.7130000000000001</v>
      </c>
      <c r="J243" s="276">
        <v>115.75</v>
      </c>
      <c r="K243" s="276">
        <v>0.24299999999999999</v>
      </c>
      <c r="L243" s="276">
        <v>335.62</v>
      </c>
      <c r="M243" s="276">
        <v>366.38099999999997</v>
      </c>
      <c r="N243" s="276">
        <v>45.457999999999998</v>
      </c>
      <c r="O243" s="276">
        <v>0.97399999999999998</v>
      </c>
    </row>
    <row r="244" spans="1:15" s="277" customFormat="1" x14ac:dyDescent="0.25">
      <c r="A244" s="274" t="s">
        <v>22</v>
      </c>
      <c r="B244" s="275"/>
      <c r="C244" s="274"/>
      <c r="D244" s="276"/>
      <c r="E244" s="276"/>
      <c r="F244" s="276"/>
      <c r="G244" s="276"/>
      <c r="H244" s="276"/>
      <c r="I244" s="276"/>
      <c r="J244" s="276"/>
      <c r="K244" s="276"/>
      <c r="L244" s="276"/>
      <c r="M244" s="276"/>
      <c r="N244" s="276"/>
      <c r="O244" s="276"/>
    </row>
    <row r="245" spans="1:15" s="277" customFormat="1" x14ac:dyDescent="0.25">
      <c r="A245" s="274" t="s">
        <v>352</v>
      </c>
      <c r="B245" s="275" t="s">
        <v>353</v>
      </c>
      <c r="C245" s="274">
        <v>250</v>
      </c>
      <c r="D245" s="276">
        <v>4.101</v>
      </c>
      <c r="E245" s="276">
        <v>6.319</v>
      </c>
      <c r="F245" s="276">
        <v>16.309999999999999</v>
      </c>
      <c r="G245" s="276">
        <v>138.76400000000001</v>
      </c>
      <c r="H245" s="276">
        <v>3.9E-2</v>
      </c>
      <c r="I245" s="276">
        <v>1.76</v>
      </c>
      <c r="J245" s="276">
        <v>209.1</v>
      </c>
      <c r="K245" s="276">
        <v>1.9390000000000001</v>
      </c>
      <c r="L245" s="276">
        <v>9.2200000000000006</v>
      </c>
      <c r="M245" s="276">
        <v>62.18</v>
      </c>
      <c r="N245" s="276">
        <v>17.670000000000002</v>
      </c>
      <c r="O245" s="276">
        <v>0.55800000000000005</v>
      </c>
    </row>
    <row r="246" spans="1:15" s="277" customFormat="1" x14ac:dyDescent="0.25">
      <c r="A246" s="274" t="s">
        <v>354</v>
      </c>
      <c r="B246" s="275" t="s">
        <v>208</v>
      </c>
      <c r="C246" s="274">
        <v>60</v>
      </c>
      <c r="D246" s="276">
        <v>8.9779999999999998</v>
      </c>
      <c r="E246" s="276">
        <v>9.1199999999999992</v>
      </c>
      <c r="F246" s="276">
        <v>4.83</v>
      </c>
      <c r="G246" s="276">
        <v>137.256</v>
      </c>
      <c r="H246" s="276">
        <v>4.2000000000000003E-2</v>
      </c>
      <c r="I246" s="276"/>
      <c r="J246" s="276">
        <v>12</v>
      </c>
      <c r="K246" s="276">
        <v>0.30599999999999999</v>
      </c>
      <c r="L246" s="276">
        <v>10.06</v>
      </c>
      <c r="M246" s="276">
        <v>92.57</v>
      </c>
      <c r="N246" s="276">
        <v>13.2</v>
      </c>
      <c r="O246" s="276">
        <v>1.421</v>
      </c>
    </row>
    <row r="247" spans="1:15" s="277" customFormat="1" x14ac:dyDescent="0.25">
      <c r="A247" s="274" t="s">
        <v>338</v>
      </c>
      <c r="B247" s="275" t="s">
        <v>162</v>
      </c>
      <c r="C247" s="274">
        <v>30</v>
      </c>
      <c r="D247" s="276">
        <v>0.42399999999999999</v>
      </c>
      <c r="E247" s="276">
        <v>1.226</v>
      </c>
      <c r="F247" s="276">
        <v>1.6859999999999999</v>
      </c>
      <c r="G247" s="276">
        <v>19.64</v>
      </c>
      <c r="H247" s="276">
        <v>1.7999999999999999E-2</v>
      </c>
      <c r="I247" s="276">
        <v>3.2000000000000001E-2</v>
      </c>
      <c r="J247" s="276">
        <v>8</v>
      </c>
      <c r="K247" s="276">
        <v>5.3999999999999999E-2</v>
      </c>
      <c r="L247" s="276">
        <v>7.4</v>
      </c>
      <c r="M247" s="276">
        <v>6.6</v>
      </c>
      <c r="N247" s="276">
        <v>1.04</v>
      </c>
      <c r="O247" s="276">
        <v>0.04</v>
      </c>
    </row>
    <row r="248" spans="1:15" s="277" customFormat="1" ht="31.5" x14ac:dyDescent="0.25">
      <c r="A248" s="274"/>
      <c r="B248" s="275" t="s">
        <v>355</v>
      </c>
      <c r="C248" s="274">
        <v>155</v>
      </c>
      <c r="D248" s="276">
        <v>4.165</v>
      </c>
      <c r="E248" s="276">
        <v>4.0750000000000002</v>
      </c>
      <c r="F248" s="276">
        <v>25.753</v>
      </c>
      <c r="G248" s="276">
        <v>156.345</v>
      </c>
      <c r="H248" s="276">
        <v>0.113</v>
      </c>
      <c r="I248" s="276"/>
      <c r="J248" s="276">
        <v>20</v>
      </c>
      <c r="K248" s="276">
        <v>0.68799999999999994</v>
      </c>
      <c r="L248" s="276">
        <v>17.321999999999999</v>
      </c>
      <c r="M248" s="276">
        <v>105.229</v>
      </c>
      <c r="N248" s="276">
        <v>22.567</v>
      </c>
      <c r="O248" s="276">
        <v>1.7809999999999999</v>
      </c>
    </row>
    <row r="249" spans="1:15" s="277" customFormat="1" ht="27.75" customHeight="1" x14ac:dyDescent="0.25">
      <c r="A249" s="274" t="s">
        <v>375</v>
      </c>
      <c r="B249" s="275" t="s">
        <v>322</v>
      </c>
      <c r="C249" s="274">
        <v>180</v>
      </c>
      <c r="D249" s="276">
        <v>0.188</v>
      </c>
      <c r="E249" s="276">
        <v>3.5999999999999997E-2</v>
      </c>
      <c r="F249" s="276">
        <v>16.309999999999999</v>
      </c>
      <c r="G249" s="276">
        <v>63.8</v>
      </c>
      <c r="H249" s="276">
        <v>5.0000000000000001E-3</v>
      </c>
      <c r="I249" s="276">
        <v>36</v>
      </c>
      <c r="J249" s="276"/>
      <c r="K249" s="276">
        <v>0.13</v>
      </c>
      <c r="L249" s="276">
        <v>9.68</v>
      </c>
      <c r="M249" s="276">
        <v>12.1</v>
      </c>
      <c r="N249" s="276">
        <v>5.58</v>
      </c>
      <c r="O249" s="276">
        <v>0.25800000000000001</v>
      </c>
    </row>
    <row r="250" spans="1:15" s="277" customFormat="1" x14ac:dyDescent="0.25">
      <c r="A250" s="274"/>
      <c r="B250" s="275" t="s">
        <v>84</v>
      </c>
      <c r="C250" s="274">
        <v>40</v>
      </c>
      <c r="D250" s="276">
        <v>3.16</v>
      </c>
      <c r="E250" s="276">
        <v>0.4</v>
      </c>
      <c r="F250" s="276">
        <v>19.32</v>
      </c>
      <c r="G250" s="276">
        <v>94</v>
      </c>
      <c r="H250" s="276">
        <v>6.4000000000000001E-2</v>
      </c>
      <c r="I250" s="276"/>
      <c r="J250" s="276"/>
      <c r="K250" s="276">
        <v>0.52</v>
      </c>
      <c r="L250" s="276">
        <v>9.1999999999999993</v>
      </c>
      <c r="M250" s="276">
        <v>34.799999999999997</v>
      </c>
      <c r="N250" s="276">
        <v>13.2</v>
      </c>
      <c r="O250" s="276">
        <v>0.8</v>
      </c>
    </row>
    <row r="251" spans="1:15" s="277" customFormat="1" x14ac:dyDescent="0.25">
      <c r="A251" s="274" t="s">
        <v>23</v>
      </c>
      <c r="B251" s="275"/>
      <c r="C251" s="274">
        <f>SUM(C245:C250)</f>
        <v>715</v>
      </c>
      <c r="D251" s="276">
        <f t="shared" ref="D251:O251" si="7">SUM(D245:D250)</f>
        <v>21.015999999999998</v>
      </c>
      <c r="E251" s="276">
        <f t="shared" si="7"/>
        <v>21.175999999999998</v>
      </c>
      <c r="F251" s="276">
        <f t="shared" si="7"/>
        <v>84.209000000000003</v>
      </c>
      <c r="G251" s="276">
        <f t="shared" si="7"/>
        <v>609.80499999999995</v>
      </c>
      <c r="H251" s="276">
        <f t="shared" si="7"/>
        <v>0.28100000000000003</v>
      </c>
      <c r="I251" s="276">
        <f t="shared" si="7"/>
        <v>37.792000000000002</v>
      </c>
      <c r="J251" s="276">
        <f t="shared" si="7"/>
        <v>249.1</v>
      </c>
      <c r="K251" s="276">
        <f t="shared" si="7"/>
        <v>3.637</v>
      </c>
      <c r="L251" s="276">
        <f t="shared" si="7"/>
        <v>62.881999999999991</v>
      </c>
      <c r="M251" s="276">
        <f t="shared" si="7"/>
        <v>313.47900000000004</v>
      </c>
      <c r="N251" s="276">
        <f t="shared" si="7"/>
        <v>73.257000000000005</v>
      </c>
      <c r="O251" s="276">
        <f t="shared" si="7"/>
        <v>4.8579999999999997</v>
      </c>
    </row>
    <row r="252" spans="1:15" s="277" customFormat="1" x14ac:dyDescent="0.25">
      <c r="A252" s="274" t="s">
        <v>24</v>
      </c>
      <c r="B252" s="275"/>
      <c r="C252" s="274"/>
      <c r="D252" s="276"/>
      <c r="E252" s="276"/>
      <c r="F252" s="276"/>
      <c r="G252" s="276"/>
      <c r="H252" s="276"/>
      <c r="I252" s="276"/>
      <c r="J252" s="276"/>
      <c r="K252" s="276"/>
      <c r="L252" s="276"/>
      <c r="M252" s="276"/>
      <c r="N252" s="276"/>
      <c r="O252" s="276"/>
    </row>
    <row r="253" spans="1:15" s="277" customFormat="1" x14ac:dyDescent="0.25">
      <c r="A253" s="274" t="s">
        <v>297</v>
      </c>
      <c r="B253" s="275" t="s">
        <v>202</v>
      </c>
      <c r="C253" s="274">
        <v>125</v>
      </c>
      <c r="D253" s="276">
        <v>19.122</v>
      </c>
      <c r="E253" s="276">
        <v>12.287000000000001</v>
      </c>
      <c r="F253" s="276">
        <v>18.23</v>
      </c>
      <c r="G253" s="276">
        <v>263.59199999999998</v>
      </c>
      <c r="H253" s="276">
        <v>0.121</v>
      </c>
      <c r="I253" s="276">
        <v>0.58799999999999997</v>
      </c>
      <c r="J253" s="276">
        <v>90.75</v>
      </c>
      <c r="K253" s="276">
        <v>0.24299999999999999</v>
      </c>
      <c r="L253" s="276">
        <v>184.37</v>
      </c>
      <c r="M253" s="276">
        <v>248.881</v>
      </c>
      <c r="N253" s="276">
        <v>26.707999999999998</v>
      </c>
      <c r="O253" s="276">
        <v>0.84899999999999998</v>
      </c>
    </row>
    <row r="254" spans="1:15" s="277" customFormat="1" x14ac:dyDescent="0.25">
      <c r="A254" s="274" t="s">
        <v>204</v>
      </c>
      <c r="B254" s="275" t="s">
        <v>219</v>
      </c>
      <c r="C254" s="274">
        <v>125</v>
      </c>
      <c r="D254" s="276">
        <v>3.375</v>
      </c>
      <c r="E254" s="276">
        <v>3.125</v>
      </c>
      <c r="F254" s="276">
        <v>13.5</v>
      </c>
      <c r="G254" s="276">
        <v>98.75</v>
      </c>
      <c r="H254" s="276">
        <v>3.7999999999999999E-2</v>
      </c>
      <c r="I254" s="276">
        <v>1.125</v>
      </c>
      <c r="J254" s="276">
        <v>25</v>
      </c>
      <c r="K254" s="276"/>
      <c r="L254" s="276">
        <v>151.25</v>
      </c>
      <c r="M254" s="276">
        <v>117.5</v>
      </c>
      <c r="N254" s="276">
        <v>18.75</v>
      </c>
      <c r="O254" s="276">
        <v>0.125</v>
      </c>
    </row>
    <row r="255" spans="1:15" s="277" customFormat="1" x14ac:dyDescent="0.25">
      <c r="A255" s="274" t="s">
        <v>25</v>
      </c>
      <c r="B255" s="275"/>
      <c r="C255" s="274">
        <v>250</v>
      </c>
      <c r="D255" s="276">
        <v>22.497</v>
      </c>
      <c r="E255" s="276">
        <v>15.412000000000001</v>
      </c>
      <c r="F255" s="276">
        <v>31.73</v>
      </c>
      <c r="G255" s="276">
        <v>362.34199999999998</v>
      </c>
      <c r="H255" s="276">
        <v>0.159</v>
      </c>
      <c r="I255" s="276">
        <v>1.7130000000000001</v>
      </c>
      <c r="J255" s="276">
        <v>115.75</v>
      </c>
      <c r="K255" s="276">
        <v>0.24299999999999999</v>
      </c>
      <c r="L255" s="276">
        <v>335.62</v>
      </c>
      <c r="M255" s="276">
        <v>366.38099999999997</v>
      </c>
      <c r="N255" s="276">
        <v>45.457999999999998</v>
      </c>
      <c r="O255" s="276">
        <v>0.97399999999999998</v>
      </c>
    </row>
    <row r="256" spans="1:15" s="277" customFormat="1" x14ac:dyDescent="0.25">
      <c r="A256" s="274" t="s">
        <v>42</v>
      </c>
      <c r="B256" s="275"/>
      <c r="C256" s="278">
        <v>1790</v>
      </c>
      <c r="D256" s="280">
        <v>101.69199999999999</v>
      </c>
      <c r="E256" s="280">
        <v>73.977999999999994</v>
      </c>
      <c r="F256" s="280">
        <v>267.512</v>
      </c>
      <c r="G256" s="280">
        <v>2164.6959999999999</v>
      </c>
      <c r="H256" s="280">
        <v>0.879</v>
      </c>
      <c r="I256" s="280">
        <v>60.54</v>
      </c>
      <c r="J256" s="280">
        <v>598.52</v>
      </c>
      <c r="K256" s="280">
        <v>5.8739999999999997</v>
      </c>
      <c r="L256" s="280">
        <v>1143.3620000000001</v>
      </c>
      <c r="M256" s="280">
        <v>1594.501</v>
      </c>
      <c r="N256" s="280">
        <v>329.02199999999999</v>
      </c>
      <c r="O256" s="280">
        <v>11.241</v>
      </c>
    </row>
    <row r="257" spans="1:15" s="277" customFormat="1" x14ac:dyDescent="0.25">
      <c r="A257" s="274" t="s">
        <v>43</v>
      </c>
      <c r="B257" s="275"/>
      <c r="C257" s="274"/>
      <c r="D257" s="276"/>
      <c r="E257" s="276"/>
      <c r="F257" s="276"/>
      <c r="G257" s="276"/>
      <c r="H257" s="276"/>
      <c r="I257" s="276"/>
      <c r="J257" s="276"/>
      <c r="K257" s="276"/>
      <c r="L257" s="276"/>
      <c r="M257" s="276"/>
      <c r="N257" s="276"/>
      <c r="O257" s="276"/>
    </row>
    <row r="258" spans="1:15" s="277" customFormat="1" ht="31.5" x14ac:dyDescent="0.25">
      <c r="A258" s="274" t="s">
        <v>0</v>
      </c>
      <c r="B258" s="275" t="s">
        <v>1</v>
      </c>
      <c r="C258" s="274" t="s">
        <v>2</v>
      </c>
      <c r="D258" s="276" t="s">
        <v>3</v>
      </c>
      <c r="E258" s="276"/>
      <c r="F258" s="276"/>
      <c r="G258" s="276" t="s">
        <v>4</v>
      </c>
      <c r="H258" s="276" t="s">
        <v>5</v>
      </c>
      <c r="I258" s="276"/>
      <c r="J258" s="276"/>
      <c r="K258" s="276"/>
      <c r="L258" s="276" t="s">
        <v>6</v>
      </c>
      <c r="M258" s="276"/>
      <c r="N258" s="276"/>
      <c r="O258" s="276"/>
    </row>
    <row r="259" spans="1:15" s="277" customFormat="1" x14ac:dyDescent="0.25">
      <c r="A259" s="274"/>
      <c r="B259" s="275"/>
      <c r="C259" s="274"/>
      <c r="D259" s="276" t="s">
        <v>7</v>
      </c>
      <c r="E259" s="276" t="s">
        <v>8</v>
      </c>
      <c r="F259" s="276" t="s">
        <v>9</v>
      </c>
      <c r="G259" s="276"/>
      <c r="H259" s="276" t="s">
        <v>10</v>
      </c>
      <c r="I259" s="276" t="s">
        <v>11</v>
      </c>
      <c r="J259" s="276" t="s">
        <v>12</v>
      </c>
      <c r="K259" s="276" t="s">
        <v>13</v>
      </c>
      <c r="L259" s="276" t="s">
        <v>14</v>
      </c>
      <c r="M259" s="276" t="s">
        <v>15</v>
      </c>
      <c r="N259" s="276" t="s">
        <v>16</v>
      </c>
      <c r="O259" s="276" t="s">
        <v>17</v>
      </c>
    </row>
    <row r="260" spans="1:15" s="277" customFormat="1" x14ac:dyDescent="0.25">
      <c r="A260" s="274" t="s">
        <v>18</v>
      </c>
      <c r="B260" s="275"/>
      <c r="C260" s="274"/>
      <c r="D260" s="276"/>
      <c r="E260" s="276"/>
      <c r="F260" s="276"/>
      <c r="G260" s="276"/>
      <c r="H260" s="276"/>
      <c r="I260" s="276"/>
      <c r="J260" s="276"/>
      <c r="K260" s="276"/>
      <c r="L260" s="276"/>
      <c r="M260" s="276"/>
      <c r="N260" s="276"/>
      <c r="O260" s="276"/>
    </row>
    <row r="261" spans="1:15" s="277" customFormat="1" ht="31.5" x14ac:dyDescent="0.25">
      <c r="A261" s="274"/>
      <c r="B261" s="275" t="s">
        <v>303</v>
      </c>
      <c r="C261" s="274">
        <v>40</v>
      </c>
      <c r="D261" s="276">
        <v>0.28000000000000003</v>
      </c>
      <c r="E261" s="276">
        <v>0.04</v>
      </c>
      <c r="F261" s="276">
        <v>0.76</v>
      </c>
      <c r="G261" s="276">
        <v>4.4000000000000004</v>
      </c>
      <c r="H261" s="276">
        <v>1.2E-2</v>
      </c>
      <c r="I261" s="276">
        <v>2.8</v>
      </c>
      <c r="J261" s="276"/>
      <c r="K261" s="276">
        <v>0.04</v>
      </c>
      <c r="L261" s="276">
        <v>6.8</v>
      </c>
      <c r="M261" s="276">
        <v>12</v>
      </c>
      <c r="N261" s="276">
        <v>5.6</v>
      </c>
      <c r="O261" s="276">
        <v>0.2</v>
      </c>
    </row>
    <row r="262" spans="1:15" s="277" customFormat="1" x14ac:dyDescent="0.25">
      <c r="A262" s="274" t="s">
        <v>380</v>
      </c>
      <c r="B262" s="275" t="s">
        <v>356</v>
      </c>
      <c r="C262" s="274">
        <v>65</v>
      </c>
      <c r="D262" s="276">
        <v>9.9529999999999994</v>
      </c>
      <c r="E262" s="276">
        <v>10.986000000000001</v>
      </c>
      <c r="F262" s="276">
        <v>4.83</v>
      </c>
      <c r="G262" s="276">
        <v>158.273</v>
      </c>
      <c r="H262" s="276">
        <v>0.06</v>
      </c>
      <c r="I262" s="276">
        <v>0.98</v>
      </c>
      <c r="J262" s="276">
        <v>34.299999999999997</v>
      </c>
      <c r="K262" s="276">
        <v>1.597</v>
      </c>
      <c r="L262" s="276">
        <v>9.16</v>
      </c>
      <c r="M262" s="276">
        <v>87.16</v>
      </c>
      <c r="N262" s="276">
        <v>12.61</v>
      </c>
      <c r="O262" s="276">
        <v>0.98399999999999999</v>
      </c>
    </row>
    <row r="263" spans="1:15" s="277" customFormat="1" x14ac:dyDescent="0.25">
      <c r="A263" s="274" t="s">
        <v>316</v>
      </c>
      <c r="B263" s="275" t="s">
        <v>184</v>
      </c>
      <c r="C263" s="274">
        <v>50</v>
      </c>
      <c r="D263" s="276">
        <v>1.073</v>
      </c>
      <c r="E263" s="276">
        <v>2.839</v>
      </c>
      <c r="F263" s="276">
        <v>3.835</v>
      </c>
      <c r="G263" s="276">
        <v>45.341999999999999</v>
      </c>
      <c r="H263" s="276">
        <v>2.9000000000000001E-2</v>
      </c>
      <c r="I263" s="276">
        <v>0.15</v>
      </c>
      <c r="J263" s="276">
        <v>14.5</v>
      </c>
      <c r="K263" s="276">
        <v>7.4999999999999997E-2</v>
      </c>
      <c r="L263" s="276">
        <v>31.26</v>
      </c>
      <c r="M263" s="276">
        <v>25.98</v>
      </c>
      <c r="N263" s="276">
        <v>3.98</v>
      </c>
      <c r="O263" s="276">
        <v>6.9000000000000006E-2</v>
      </c>
    </row>
    <row r="264" spans="1:15" s="277" customFormat="1" x14ac:dyDescent="0.25">
      <c r="A264" s="274" t="s">
        <v>374</v>
      </c>
      <c r="B264" s="275" t="s">
        <v>357</v>
      </c>
      <c r="C264" s="274">
        <v>150</v>
      </c>
      <c r="D264" s="276">
        <v>5.8620000000000001</v>
      </c>
      <c r="E264" s="276">
        <v>3.589</v>
      </c>
      <c r="F264" s="276">
        <v>37.417000000000002</v>
      </c>
      <c r="G264" s="276">
        <v>205.57599999999999</v>
      </c>
      <c r="H264" s="276">
        <v>9.0999999999999998E-2</v>
      </c>
      <c r="I264" s="276"/>
      <c r="J264" s="276">
        <v>16</v>
      </c>
      <c r="K264" s="276">
        <v>0.83499999999999996</v>
      </c>
      <c r="L264" s="276">
        <v>12.134</v>
      </c>
      <c r="M264" s="276">
        <v>47.534999999999997</v>
      </c>
      <c r="N264" s="276">
        <v>8.5459999999999994</v>
      </c>
      <c r="O264" s="276">
        <v>0.86499999999999999</v>
      </c>
    </row>
    <row r="265" spans="1:15" s="277" customFormat="1" x14ac:dyDescent="0.25">
      <c r="A265" s="274" t="s">
        <v>228</v>
      </c>
      <c r="B265" s="275" t="s">
        <v>229</v>
      </c>
      <c r="C265" s="274">
        <v>180</v>
      </c>
      <c r="D265" s="276">
        <v>3.61</v>
      </c>
      <c r="E265" s="276">
        <v>2.75</v>
      </c>
      <c r="F265" s="276">
        <v>12.804</v>
      </c>
      <c r="G265" s="276">
        <v>86.52</v>
      </c>
      <c r="H265" s="276">
        <v>2.1000000000000001E-2</v>
      </c>
      <c r="I265" s="276">
        <v>0.72399999999999998</v>
      </c>
      <c r="J265" s="276">
        <v>9</v>
      </c>
      <c r="K265" s="276"/>
      <c r="L265" s="276">
        <v>112.76600000000001</v>
      </c>
      <c r="M265" s="276">
        <v>81</v>
      </c>
      <c r="N265" s="276">
        <v>12.6</v>
      </c>
      <c r="O265" s="276">
        <v>0.11799999999999999</v>
      </c>
    </row>
    <row r="266" spans="1:15" s="277" customFormat="1" x14ac:dyDescent="0.25">
      <c r="A266" s="274">
        <v>0</v>
      </c>
      <c r="B266" s="275" t="s">
        <v>198</v>
      </c>
      <c r="C266" s="274">
        <v>100</v>
      </c>
      <c r="D266" s="276">
        <v>1.5</v>
      </c>
      <c r="E266" s="276">
        <v>0.5</v>
      </c>
      <c r="F266" s="276">
        <v>21</v>
      </c>
      <c r="G266" s="276">
        <v>96</v>
      </c>
      <c r="H266" s="276">
        <v>0.04</v>
      </c>
      <c r="I266" s="276">
        <v>10</v>
      </c>
      <c r="J266" s="276"/>
      <c r="K266" s="276">
        <v>0.4</v>
      </c>
      <c r="L266" s="276">
        <v>8</v>
      </c>
      <c r="M266" s="276">
        <v>28</v>
      </c>
      <c r="N266" s="276">
        <v>42</v>
      </c>
      <c r="O266" s="276">
        <v>0.6</v>
      </c>
    </row>
    <row r="267" spans="1:15" s="277" customFormat="1" x14ac:dyDescent="0.25">
      <c r="A267" s="274"/>
      <c r="B267" s="275" t="s">
        <v>84</v>
      </c>
      <c r="C267" s="274">
        <v>40</v>
      </c>
      <c r="D267" s="276">
        <v>3.16</v>
      </c>
      <c r="E267" s="276">
        <v>0.4</v>
      </c>
      <c r="F267" s="276">
        <v>19.32</v>
      </c>
      <c r="G267" s="276">
        <v>94</v>
      </c>
      <c r="H267" s="276">
        <v>6.4000000000000001E-2</v>
      </c>
      <c r="I267" s="276"/>
      <c r="J267" s="276"/>
      <c r="K267" s="276">
        <v>0.52</v>
      </c>
      <c r="L267" s="276">
        <v>9.1999999999999993</v>
      </c>
      <c r="M267" s="276">
        <v>34.799999999999997</v>
      </c>
      <c r="N267" s="276">
        <v>13.2</v>
      </c>
      <c r="O267" s="276">
        <v>0.8</v>
      </c>
    </row>
    <row r="268" spans="1:15" s="277" customFormat="1" x14ac:dyDescent="0.25">
      <c r="A268" s="274" t="s">
        <v>19</v>
      </c>
      <c r="B268" s="275"/>
      <c r="C268" s="274">
        <f>SUM(C261:C267)</f>
        <v>625</v>
      </c>
      <c r="D268" s="276">
        <f t="shared" ref="D268:O268" si="8">SUM(D261:D267)</f>
        <v>25.437999999999999</v>
      </c>
      <c r="E268" s="276">
        <f t="shared" si="8"/>
        <v>21.103999999999999</v>
      </c>
      <c r="F268" s="276">
        <f t="shared" si="8"/>
        <v>99.966000000000008</v>
      </c>
      <c r="G268" s="276">
        <f t="shared" si="8"/>
        <v>690.11099999999999</v>
      </c>
      <c r="H268" s="276">
        <f t="shared" si="8"/>
        <v>0.317</v>
      </c>
      <c r="I268" s="276">
        <f t="shared" si="8"/>
        <v>14.654</v>
      </c>
      <c r="J268" s="276">
        <f t="shared" si="8"/>
        <v>73.8</v>
      </c>
      <c r="K268" s="276">
        <f t="shared" si="8"/>
        <v>3.4669999999999996</v>
      </c>
      <c r="L268" s="276">
        <f t="shared" si="8"/>
        <v>189.32</v>
      </c>
      <c r="M268" s="276">
        <f t="shared" si="8"/>
        <v>316.47500000000002</v>
      </c>
      <c r="N268" s="276">
        <f t="shared" si="8"/>
        <v>98.536000000000001</v>
      </c>
      <c r="O268" s="276">
        <f t="shared" si="8"/>
        <v>3.6360000000000001</v>
      </c>
    </row>
    <row r="269" spans="1:15" s="277" customFormat="1" x14ac:dyDescent="0.25">
      <c r="A269" s="274" t="s">
        <v>20</v>
      </c>
      <c r="B269" s="275"/>
      <c r="C269" s="274"/>
      <c r="D269" s="276"/>
      <c r="E269" s="276"/>
      <c r="F269" s="276"/>
      <c r="G269" s="276"/>
      <c r="H269" s="276"/>
      <c r="I269" s="276"/>
      <c r="J269" s="276"/>
      <c r="K269" s="276"/>
      <c r="L269" s="276"/>
      <c r="M269" s="276"/>
      <c r="N269" s="276"/>
      <c r="O269" s="276"/>
    </row>
    <row r="270" spans="1:15" s="277" customFormat="1" x14ac:dyDescent="0.25">
      <c r="A270" s="274" t="s">
        <v>264</v>
      </c>
      <c r="B270" s="275" t="s">
        <v>361</v>
      </c>
      <c r="C270" s="274">
        <v>125</v>
      </c>
      <c r="D270" s="276">
        <v>3.6379999999999999</v>
      </c>
      <c r="E270" s="276">
        <v>4.5999999999999999E-2</v>
      </c>
      <c r="F270" s="276">
        <v>9.7370000000000001</v>
      </c>
      <c r="G270" s="276">
        <v>53.914000000000001</v>
      </c>
      <c r="H270" s="276">
        <v>5.0000000000000001E-3</v>
      </c>
      <c r="I270" s="276">
        <v>30</v>
      </c>
      <c r="J270" s="276"/>
      <c r="K270" s="276">
        <v>0.108</v>
      </c>
      <c r="L270" s="276">
        <v>5.4</v>
      </c>
      <c r="M270" s="276">
        <v>4.95</v>
      </c>
      <c r="N270" s="276">
        <v>4.6500000000000004</v>
      </c>
      <c r="O270" s="276">
        <v>0.219</v>
      </c>
    </row>
    <row r="271" spans="1:15" s="277" customFormat="1" x14ac:dyDescent="0.25">
      <c r="A271" s="274" t="s">
        <v>204</v>
      </c>
      <c r="B271" s="275" t="s">
        <v>219</v>
      </c>
      <c r="C271" s="274">
        <v>125</v>
      </c>
      <c r="D271" s="276">
        <v>3.375</v>
      </c>
      <c r="E271" s="276">
        <v>3.125</v>
      </c>
      <c r="F271" s="276">
        <v>13.5</v>
      </c>
      <c r="G271" s="276">
        <v>98.75</v>
      </c>
      <c r="H271" s="276">
        <v>3.7999999999999999E-2</v>
      </c>
      <c r="I271" s="276">
        <v>1.125</v>
      </c>
      <c r="J271" s="276">
        <v>25</v>
      </c>
      <c r="K271" s="276"/>
      <c r="L271" s="276">
        <v>151.25</v>
      </c>
      <c r="M271" s="276">
        <v>117.5</v>
      </c>
      <c r="N271" s="276">
        <v>18.75</v>
      </c>
      <c r="O271" s="276">
        <v>0.125</v>
      </c>
    </row>
    <row r="272" spans="1:15" s="277" customFormat="1" x14ac:dyDescent="0.25">
      <c r="A272" s="274" t="s">
        <v>21</v>
      </c>
      <c r="B272" s="275"/>
      <c r="C272" s="274">
        <v>250</v>
      </c>
      <c r="D272" s="276">
        <v>7.0129999999999999</v>
      </c>
      <c r="E272" s="276">
        <v>3.1709999999999998</v>
      </c>
      <c r="F272" s="276">
        <v>23.236999999999998</v>
      </c>
      <c r="G272" s="276">
        <v>152.66399999999999</v>
      </c>
      <c r="H272" s="276">
        <v>4.2000000000000003E-2</v>
      </c>
      <c r="I272" s="276">
        <v>31.125</v>
      </c>
      <c r="J272" s="276">
        <v>25</v>
      </c>
      <c r="K272" s="276">
        <v>0.108</v>
      </c>
      <c r="L272" s="276">
        <v>156.65</v>
      </c>
      <c r="M272" s="276">
        <v>122.45</v>
      </c>
      <c r="N272" s="276">
        <v>23.4</v>
      </c>
      <c r="O272" s="276">
        <v>0.34399999999999997</v>
      </c>
    </row>
    <row r="273" spans="1:15" s="277" customFormat="1" x14ac:dyDescent="0.25">
      <c r="A273" s="274" t="s">
        <v>22</v>
      </c>
      <c r="B273" s="275"/>
      <c r="C273" s="274"/>
      <c r="D273" s="276"/>
      <c r="E273" s="276"/>
      <c r="F273" s="276"/>
      <c r="G273" s="276"/>
      <c r="H273" s="276"/>
      <c r="I273" s="276"/>
      <c r="J273" s="276"/>
      <c r="K273" s="276"/>
      <c r="L273" s="276"/>
      <c r="M273" s="276"/>
      <c r="N273" s="276"/>
      <c r="O273" s="276"/>
    </row>
    <row r="274" spans="1:15" s="277" customFormat="1" x14ac:dyDescent="0.25">
      <c r="A274" s="274" t="s">
        <v>319</v>
      </c>
      <c r="B274" s="275" t="s">
        <v>292</v>
      </c>
      <c r="C274" s="274">
        <v>250</v>
      </c>
      <c r="D274" s="276">
        <v>3.6789999999999998</v>
      </c>
      <c r="E274" s="276">
        <v>4.3</v>
      </c>
      <c r="F274" s="276">
        <v>21.206</v>
      </c>
      <c r="G274" s="276">
        <v>138.80600000000001</v>
      </c>
      <c r="H274" s="276">
        <v>0.16400000000000001</v>
      </c>
      <c r="I274" s="276">
        <v>19.478000000000002</v>
      </c>
      <c r="J274" s="276">
        <v>119.8</v>
      </c>
      <c r="K274" s="276">
        <v>0.245</v>
      </c>
      <c r="L274" s="276">
        <v>63.665999999999997</v>
      </c>
      <c r="M274" s="276">
        <v>101.012</v>
      </c>
      <c r="N274" s="276">
        <v>30.285</v>
      </c>
      <c r="O274" s="276">
        <v>1.0529999999999999</v>
      </c>
    </row>
    <row r="275" spans="1:15" s="277" customFormat="1" ht="31.5" x14ac:dyDescent="0.25">
      <c r="A275" s="274" t="s">
        <v>341</v>
      </c>
      <c r="B275" s="275" t="s">
        <v>342</v>
      </c>
      <c r="C275" s="274">
        <v>90</v>
      </c>
      <c r="D275" s="276">
        <v>17.946000000000002</v>
      </c>
      <c r="E275" s="276">
        <v>14.555</v>
      </c>
      <c r="F275" s="276">
        <v>8.0760000000000005</v>
      </c>
      <c r="G275" s="276">
        <v>235.01499999999999</v>
      </c>
      <c r="H275" s="276">
        <v>0.13900000000000001</v>
      </c>
      <c r="I275" s="276">
        <v>0.12</v>
      </c>
      <c r="J275" s="276">
        <v>47</v>
      </c>
      <c r="K275" s="276">
        <v>2.738</v>
      </c>
      <c r="L275" s="276">
        <v>45.68</v>
      </c>
      <c r="M275" s="276">
        <v>193.61</v>
      </c>
      <c r="N275" s="276">
        <v>22.18</v>
      </c>
      <c r="O275" s="276">
        <v>2.5089999999999999</v>
      </c>
    </row>
    <row r="276" spans="1:15" s="277" customFormat="1" x14ac:dyDescent="0.25">
      <c r="A276" s="274"/>
      <c r="B276" s="275" t="s">
        <v>359</v>
      </c>
      <c r="C276" s="274">
        <v>150</v>
      </c>
      <c r="D276" s="276">
        <v>4.6139999999999999</v>
      </c>
      <c r="E276" s="276">
        <v>4.8230000000000004</v>
      </c>
      <c r="F276" s="276">
        <v>20.792000000000002</v>
      </c>
      <c r="G276" s="276">
        <v>144.84899999999999</v>
      </c>
      <c r="H276" s="276">
        <v>0.157</v>
      </c>
      <c r="I276" s="276"/>
      <c r="J276" s="276">
        <v>20</v>
      </c>
      <c r="K276" s="276">
        <v>0.34</v>
      </c>
      <c r="L276" s="276">
        <v>9.5459999999999994</v>
      </c>
      <c r="M276" s="276">
        <v>109.895</v>
      </c>
      <c r="N276" s="276">
        <v>72.665000000000006</v>
      </c>
      <c r="O276" s="276">
        <v>2.4510000000000001</v>
      </c>
    </row>
    <row r="277" spans="1:15" s="277" customFormat="1" x14ac:dyDescent="0.25">
      <c r="A277" s="274" t="s">
        <v>381</v>
      </c>
      <c r="B277" s="275" t="s">
        <v>362</v>
      </c>
      <c r="C277" s="274">
        <v>180</v>
      </c>
      <c r="D277" s="276">
        <v>0.115</v>
      </c>
      <c r="E277" s="276">
        <v>0.108</v>
      </c>
      <c r="F277" s="276">
        <v>17.102</v>
      </c>
      <c r="G277" s="276">
        <v>70.510000000000005</v>
      </c>
      <c r="H277" s="276">
        <v>8.0000000000000002E-3</v>
      </c>
      <c r="I277" s="276">
        <v>2.7</v>
      </c>
      <c r="J277" s="276">
        <v>1.35</v>
      </c>
      <c r="K277" s="276">
        <v>5.3999999999999999E-2</v>
      </c>
      <c r="L277" s="276">
        <v>7.12</v>
      </c>
      <c r="M277" s="276">
        <v>8.36</v>
      </c>
      <c r="N277" s="276">
        <v>2.4300000000000002</v>
      </c>
      <c r="O277" s="276">
        <v>0.621</v>
      </c>
    </row>
    <row r="278" spans="1:15" s="277" customFormat="1" x14ac:dyDescent="0.25">
      <c r="A278" s="274">
        <v>0</v>
      </c>
      <c r="B278" s="275" t="s">
        <v>84</v>
      </c>
      <c r="C278" s="274">
        <v>70</v>
      </c>
      <c r="D278" s="276">
        <v>5.53</v>
      </c>
      <c r="E278" s="276">
        <v>0.7</v>
      </c>
      <c r="F278" s="276">
        <v>33.81</v>
      </c>
      <c r="G278" s="276">
        <v>164.5</v>
      </c>
      <c r="H278" s="276">
        <v>0.112</v>
      </c>
      <c r="I278" s="276"/>
      <c r="J278" s="276"/>
      <c r="K278" s="276">
        <v>0.91</v>
      </c>
      <c r="L278" s="276">
        <v>16.100000000000001</v>
      </c>
      <c r="M278" s="276">
        <v>60.9</v>
      </c>
      <c r="N278" s="276">
        <v>23.1</v>
      </c>
      <c r="O278" s="276">
        <v>1.4</v>
      </c>
    </row>
    <row r="279" spans="1:15" s="277" customFormat="1" x14ac:dyDescent="0.25">
      <c r="A279" s="274"/>
      <c r="B279" s="275" t="s">
        <v>358</v>
      </c>
      <c r="C279" s="274">
        <v>35</v>
      </c>
      <c r="D279" s="276">
        <v>1.365</v>
      </c>
      <c r="E279" s="276">
        <v>10.71</v>
      </c>
      <c r="F279" s="276">
        <v>21.875</v>
      </c>
      <c r="G279" s="276">
        <v>189.7</v>
      </c>
      <c r="H279" s="276">
        <v>1.7999999999999999E-2</v>
      </c>
      <c r="I279" s="276"/>
      <c r="J279" s="276">
        <v>2.1</v>
      </c>
      <c r="K279" s="276"/>
      <c r="L279" s="276">
        <v>2.8</v>
      </c>
      <c r="M279" s="276">
        <v>14.7</v>
      </c>
      <c r="N279" s="276">
        <v>2.1</v>
      </c>
      <c r="O279" s="276">
        <v>0.21</v>
      </c>
    </row>
    <row r="280" spans="1:15" s="277" customFormat="1" x14ac:dyDescent="0.25">
      <c r="A280" s="274" t="s">
        <v>23</v>
      </c>
      <c r="B280" s="275"/>
      <c r="C280" s="274">
        <v>775</v>
      </c>
      <c r="D280" s="276">
        <v>33.249000000000002</v>
      </c>
      <c r="E280" s="276">
        <v>35.195999999999998</v>
      </c>
      <c r="F280" s="276">
        <v>122.861</v>
      </c>
      <c r="G280" s="276">
        <v>943.38</v>
      </c>
      <c r="H280" s="276">
        <v>0.59699999999999998</v>
      </c>
      <c r="I280" s="276">
        <v>22.297999999999998</v>
      </c>
      <c r="J280" s="276">
        <v>190.25</v>
      </c>
      <c r="K280" s="276">
        <v>4.2869999999999999</v>
      </c>
      <c r="L280" s="276">
        <v>144.91200000000001</v>
      </c>
      <c r="M280" s="276">
        <v>488.47699999999998</v>
      </c>
      <c r="N280" s="276">
        <v>152.76</v>
      </c>
      <c r="O280" s="276">
        <v>8.2430000000000003</v>
      </c>
    </row>
    <row r="281" spans="1:15" s="277" customFormat="1" x14ac:dyDescent="0.25">
      <c r="A281" s="274" t="s">
        <v>24</v>
      </c>
      <c r="B281" s="275"/>
      <c r="C281" s="274"/>
      <c r="D281" s="276"/>
      <c r="E281" s="276"/>
      <c r="F281" s="276"/>
      <c r="G281" s="276"/>
      <c r="H281" s="276"/>
      <c r="I281" s="276"/>
      <c r="J281" s="276"/>
      <c r="K281" s="276"/>
      <c r="L281" s="276"/>
      <c r="M281" s="276"/>
      <c r="N281" s="276"/>
      <c r="O281" s="276"/>
    </row>
    <row r="282" spans="1:15" s="277" customFormat="1" x14ac:dyDescent="0.25">
      <c r="A282" s="274" t="s">
        <v>264</v>
      </c>
      <c r="B282" s="275" t="s">
        <v>361</v>
      </c>
      <c r="C282" s="274">
        <v>125</v>
      </c>
      <c r="D282" s="276">
        <v>3.6379999999999999</v>
      </c>
      <c r="E282" s="276">
        <v>4.5999999999999999E-2</v>
      </c>
      <c r="F282" s="276">
        <v>9.7370000000000001</v>
      </c>
      <c r="G282" s="276">
        <v>53.914000000000001</v>
      </c>
      <c r="H282" s="276">
        <v>5.0000000000000001E-3</v>
      </c>
      <c r="I282" s="276">
        <v>30</v>
      </c>
      <c r="J282" s="276"/>
      <c r="K282" s="276">
        <v>0.108</v>
      </c>
      <c r="L282" s="276">
        <v>5.4</v>
      </c>
      <c r="M282" s="276">
        <v>4.95</v>
      </c>
      <c r="N282" s="276">
        <v>4.6500000000000004</v>
      </c>
      <c r="O282" s="276">
        <v>0.219</v>
      </c>
    </row>
    <row r="283" spans="1:15" s="277" customFormat="1" x14ac:dyDescent="0.25">
      <c r="A283" s="274" t="s">
        <v>204</v>
      </c>
      <c r="B283" s="275" t="s">
        <v>219</v>
      </c>
      <c r="C283" s="274">
        <v>125</v>
      </c>
      <c r="D283" s="276">
        <v>3.375</v>
      </c>
      <c r="E283" s="276">
        <v>3.125</v>
      </c>
      <c r="F283" s="276">
        <v>13.5</v>
      </c>
      <c r="G283" s="276">
        <v>98.75</v>
      </c>
      <c r="H283" s="276">
        <v>3.7999999999999999E-2</v>
      </c>
      <c r="I283" s="276">
        <v>1.125</v>
      </c>
      <c r="J283" s="276">
        <v>25</v>
      </c>
      <c r="K283" s="276"/>
      <c r="L283" s="276">
        <v>151.25</v>
      </c>
      <c r="M283" s="276">
        <v>117.5</v>
      </c>
      <c r="N283" s="276">
        <v>18.75</v>
      </c>
      <c r="O283" s="276">
        <v>0.125</v>
      </c>
    </row>
    <row r="284" spans="1:15" s="277" customFormat="1" x14ac:dyDescent="0.25">
      <c r="A284" s="274" t="s">
        <v>25</v>
      </c>
      <c r="B284" s="275"/>
      <c r="C284" s="274">
        <v>250</v>
      </c>
      <c r="D284" s="276">
        <v>7.0129999999999999</v>
      </c>
      <c r="E284" s="276">
        <v>3.1709999999999998</v>
      </c>
      <c r="F284" s="276">
        <v>23.236999999999998</v>
      </c>
      <c r="G284" s="276">
        <v>152.66399999999999</v>
      </c>
      <c r="H284" s="276">
        <v>4.2000000000000003E-2</v>
      </c>
      <c r="I284" s="276">
        <v>31.125</v>
      </c>
      <c r="J284" s="276">
        <v>25</v>
      </c>
      <c r="K284" s="276">
        <v>0.108</v>
      </c>
      <c r="L284" s="276">
        <v>156.65</v>
      </c>
      <c r="M284" s="276">
        <v>122.45</v>
      </c>
      <c r="N284" s="276">
        <v>23.4</v>
      </c>
      <c r="O284" s="276">
        <v>0.34399999999999997</v>
      </c>
    </row>
    <row r="285" spans="1:15" s="277" customFormat="1" x14ac:dyDescent="0.25">
      <c r="A285" s="274" t="s">
        <v>44</v>
      </c>
      <c r="B285" s="275"/>
      <c r="C285" s="274">
        <f>C284+C280+C272+C268</f>
        <v>1900</v>
      </c>
      <c r="D285" s="276">
        <f t="shared" ref="D285:O285" si="9">D284+D280+D272+D268</f>
        <v>72.712999999999994</v>
      </c>
      <c r="E285" s="276">
        <f t="shared" si="9"/>
        <v>62.641999999999996</v>
      </c>
      <c r="F285" s="276">
        <f t="shared" si="9"/>
        <v>269.30100000000004</v>
      </c>
      <c r="G285" s="276">
        <f t="shared" si="9"/>
        <v>1938.819</v>
      </c>
      <c r="H285" s="276">
        <f t="shared" si="9"/>
        <v>0.998</v>
      </c>
      <c r="I285" s="276">
        <f t="shared" si="9"/>
        <v>99.201999999999998</v>
      </c>
      <c r="J285" s="276">
        <f t="shared" si="9"/>
        <v>314.05</v>
      </c>
      <c r="K285" s="276">
        <f t="shared" si="9"/>
        <v>7.9699999999999989</v>
      </c>
      <c r="L285" s="276">
        <f t="shared" si="9"/>
        <v>647.53199999999993</v>
      </c>
      <c r="M285" s="276">
        <f t="shared" si="9"/>
        <v>1049.8520000000001</v>
      </c>
      <c r="N285" s="276">
        <f t="shared" si="9"/>
        <v>298.096</v>
      </c>
      <c r="O285" s="276">
        <f t="shared" si="9"/>
        <v>12.567</v>
      </c>
    </row>
    <row r="286" spans="1:15" s="277" customFormat="1" x14ac:dyDescent="0.25">
      <c r="A286" s="274" t="s">
        <v>45</v>
      </c>
      <c r="B286" s="275"/>
      <c r="C286" s="274">
        <f>C285+C256+C229+C199+C170+C142+C115+C86+C57+C30</f>
        <v>18970</v>
      </c>
      <c r="D286" s="276">
        <f t="shared" ref="D286:O286" si="10">D285+D256+D229+D199+D170+D142+D115+D86+D57+D30</f>
        <v>817.82399999999996</v>
      </c>
      <c r="E286" s="276">
        <f t="shared" si="10"/>
        <v>606.97599999999989</v>
      </c>
      <c r="F286" s="276">
        <f t="shared" si="10"/>
        <v>2553.4830000000002</v>
      </c>
      <c r="G286" s="276">
        <f t="shared" si="10"/>
        <v>19108.349000000002</v>
      </c>
      <c r="H286" s="276">
        <f t="shared" si="10"/>
        <v>10.576000000000001</v>
      </c>
      <c r="I286" s="276">
        <f t="shared" si="10"/>
        <v>760.70399999999995</v>
      </c>
      <c r="J286" s="276">
        <f t="shared" si="10"/>
        <v>9395.2240000000002</v>
      </c>
      <c r="K286" s="276">
        <f t="shared" si="10"/>
        <v>89.877999999999986</v>
      </c>
      <c r="L286" s="276">
        <f t="shared" si="10"/>
        <v>9055.6859999999997</v>
      </c>
      <c r="M286" s="276">
        <f t="shared" si="10"/>
        <v>13192.105</v>
      </c>
      <c r="N286" s="276">
        <f t="shared" si="10"/>
        <v>3122.7340000000004</v>
      </c>
      <c r="O286" s="276">
        <f t="shared" si="10"/>
        <v>145.59100000000001</v>
      </c>
    </row>
    <row r="287" spans="1:15" x14ac:dyDescent="0.25">
      <c r="A287" s="304"/>
      <c r="B287" s="273"/>
      <c r="C287" s="305"/>
      <c r="D287" s="306"/>
      <c r="E287" s="306"/>
      <c r="F287" s="306"/>
      <c r="G287" s="306"/>
      <c r="H287" s="306"/>
      <c r="I287" s="306"/>
      <c r="J287" s="306"/>
      <c r="K287" s="306"/>
      <c r="L287" s="306"/>
      <c r="M287" s="306"/>
      <c r="N287" s="306"/>
      <c r="O287" s="306"/>
    </row>
    <row r="288" spans="1:15" x14ac:dyDescent="0.25">
      <c r="A288" s="303"/>
      <c r="B288" s="307"/>
      <c r="C288" s="303"/>
      <c r="D288" s="303"/>
      <c r="E288" s="303"/>
      <c r="F288" s="303"/>
      <c r="G288" s="303"/>
      <c r="H288" s="303"/>
      <c r="I288" s="303"/>
      <c r="J288" s="303"/>
      <c r="K288" s="303"/>
      <c r="L288" s="303"/>
      <c r="M288" s="303"/>
      <c r="N288" s="303"/>
      <c r="O288" s="303"/>
    </row>
    <row r="289" spans="1:15" x14ac:dyDescent="0.25">
      <c r="A289" s="303"/>
      <c r="B289" s="307"/>
      <c r="C289" s="309" t="s">
        <v>386</v>
      </c>
      <c r="D289" s="309">
        <v>10</v>
      </c>
      <c r="E289" s="303"/>
      <c r="F289" s="303"/>
      <c r="G289" s="303"/>
      <c r="H289" s="303"/>
      <c r="I289" s="303"/>
      <c r="J289" s="303"/>
      <c r="K289" s="303"/>
      <c r="L289" s="303"/>
      <c r="M289" s="303"/>
      <c r="N289" s="303"/>
      <c r="O289" s="303"/>
    </row>
    <row r="290" spans="1:15" s="282" customFormat="1" x14ac:dyDescent="0.25">
      <c r="A290" s="366"/>
      <c r="B290" s="367"/>
      <c r="C290" s="368" t="s">
        <v>2</v>
      </c>
      <c r="D290" s="368" t="s">
        <v>3</v>
      </c>
      <c r="E290" s="368"/>
      <c r="F290" s="368"/>
      <c r="G290" s="368" t="s">
        <v>4</v>
      </c>
      <c r="H290" s="368" t="s">
        <v>5</v>
      </c>
      <c r="I290" s="368"/>
      <c r="J290" s="368"/>
      <c r="K290" s="368"/>
      <c r="L290" s="368" t="s">
        <v>6</v>
      </c>
      <c r="M290" s="368"/>
      <c r="N290" s="368"/>
      <c r="O290" s="368"/>
    </row>
    <row r="291" spans="1:15" s="282" customFormat="1" x14ac:dyDescent="0.25">
      <c r="A291" s="367"/>
      <c r="B291" s="367"/>
      <c r="C291" s="368"/>
      <c r="D291" s="283" t="s">
        <v>7</v>
      </c>
      <c r="E291" s="283" t="s">
        <v>8</v>
      </c>
      <c r="F291" s="283" t="s">
        <v>9</v>
      </c>
      <c r="G291" s="368"/>
      <c r="H291" s="283" t="s">
        <v>10</v>
      </c>
      <c r="I291" s="283" t="s">
        <v>11</v>
      </c>
      <c r="J291" s="283" t="s">
        <v>12</v>
      </c>
      <c r="K291" s="283" t="s">
        <v>13</v>
      </c>
      <c r="L291" s="283" t="s">
        <v>14</v>
      </c>
      <c r="M291" s="283" t="s">
        <v>15</v>
      </c>
      <c r="N291" s="283" t="s">
        <v>16</v>
      </c>
      <c r="O291" s="283" t="s">
        <v>17</v>
      </c>
    </row>
    <row r="292" spans="1:15" s="282" customFormat="1" x14ac:dyDescent="0.25">
      <c r="A292" s="372" t="s">
        <v>48</v>
      </c>
      <c r="B292" s="373"/>
      <c r="C292" s="284">
        <f t="shared" ref="C292:O292" si="11">C13+C40+C69+C97+C125+C153+C182+C211+C239+C268</f>
        <v>5935</v>
      </c>
      <c r="D292" s="285">
        <f t="shared" si="11"/>
        <v>252.58099999999996</v>
      </c>
      <c r="E292" s="285">
        <f t="shared" si="11"/>
        <v>202.56099999999998</v>
      </c>
      <c r="F292" s="285">
        <f t="shared" si="11"/>
        <v>861.98099999999999</v>
      </c>
      <c r="G292" s="285">
        <f t="shared" si="11"/>
        <v>6313.5479999999998</v>
      </c>
      <c r="H292" s="285">
        <f t="shared" si="11"/>
        <v>3.6189999999999998</v>
      </c>
      <c r="I292" s="285">
        <f t="shared" si="11"/>
        <v>240.251</v>
      </c>
      <c r="J292" s="285">
        <f t="shared" si="11"/>
        <v>3663.0619999999999</v>
      </c>
      <c r="K292" s="285">
        <f t="shared" si="11"/>
        <v>31.855</v>
      </c>
      <c r="L292" s="285">
        <f t="shared" si="11"/>
        <v>2143.7440000000001</v>
      </c>
      <c r="M292" s="285">
        <f t="shared" si="11"/>
        <v>3975.5139999999997</v>
      </c>
      <c r="N292" s="285">
        <f t="shared" si="11"/>
        <v>1159.453</v>
      </c>
      <c r="O292" s="285">
        <f t="shared" si="11"/>
        <v>57.713000000000001</v>
      </c>
    </row>
    <row r="293" spans="1:15" s="282" customFormat="1" x14ac:dyDescent="0.25">
      <c r="A293" s="370" t="s">
        <v>49</v>
      </c>
      <c r="B293" s="371"/>
      <c r="C293" s="284">
        <f>C292/10</f>
        <v>593.5</v>
      </c>
      <c r="D293" s="285">
        <f>D292/$D$289</f>
        <v>25.258099999999995</v>
      </c>
      <c r="E293" s="285">
        <f t="shared" ref="E293:O293" si="12">E292/$D$289</f>
        <v>20.256099999999996</v>
      </c>
      <c r="F293" s="285">
        <f t="shared" si="12"/>
        <v>86.198099999999997</v>
      </c>
      <c r="G293" s="285">
        <f t="shared" si="12"/>
        <v>631.35479999999995</v>
      </c>
      <c r="H293" s="285">
        <f t="shared" si="12"/>
        <v>0.3619</v>
      </c>
      <c r="I293" s="285">
        <f t="shared" si="12"/>
        <v>24.025100000000002</v>
      </c>
      <c r="J293" s="285">
        <f t="shared" si="12"/>
        <v>366.30619999999999</v>
      </c>
      <c r="K293" s="285">
        <f t="shared" si="12"/>
        <v>3.1855000000000002</v>
      </c>
      <c r="L293" s="285">
        <f t="shared" si="12"/>
        <v>214.37440000000001</v>
      </c>
      <c r="M293" s="285">
        <f t="shared" si="12"/>
        <v>397.55139999999994</v>
      </c>
      <c r="N293" s="285">
        <f t="shared" si="12"/>
        <v>115.9453</v>
      </c>
      <c r="O293" s="285">
        <f t="shared" si="12"/>
        <v>5.7713000000000001</v>
      </c>
    </row>
    <row r="294" spans="1:15" s="282" customFormat="1" x14ac:dyDescent="0.25">
      <c r="A294" s="370" t="s">
        <v>50</v>
      </c>
      <c r="B294" s="371"/>
      <c r="C294" s="286"/>
      <c r="D294" s="287">
        <f>4*D293/$G$293</f>
        <v>0.16002475945379679</v>
      </c>
      <c r="E294" s="287">
        <f t="shared" ref="E294:F294" si="13">4*E293/$G$293</f>
        <v>0.12833417913350781</v>
      </c>
      <c r="F294" s="287">
        <f t="shared" si="13"/>
        <v>0.54611511625475884</v>
      </c>
      <c r="G294" s="288"/>
      <c r="H294" s="289"/>
      <c r="I294" s="289"/>
      <c r="J294" s="289"/>
      <c r="K294" s="289"/>
      <c r="L294" s="289"/>
      <c r="M294" s="289"/>
      <c r="N294" s="289"/>
      <c r="O294" s="289"/>
    </row>
    <row r="295" spans="1:15" s="282" customFormat="1" x14ac:dyDescent="0.25">
      <c r="A295" s="370" t="s">
        <v>51</v>
      </c>
      <c r="B295" s="371"/>
      <c r="C295" s="286"/>
      <c r="D295" s="290">
        <f>D293/D311</f>
        <v>0.32802727272727267</v>
      </c>
      <c r="E295" s="290">
        <f t="shared" ref="E295:O295" si="14">E293/E311</f>
        <v>0.25640632911392403</v>
      </c>
      <c r="F295" s="290">
        <f t="shared" si="14"/>
        <v>0.25730776119402982</v>
      </c>
      <c r="G295" s="290">
        <f t="shared" si="14"/>
        <v>0.26866161702127656</v>
      </c>
      <c r="H295" s="290">
        <f t="shared" si="14"/>
        <v>0.30158333333333337</v>
      </c>
      <c r="I295" s="290">
        <f t="shared" si="14"/>
        <v>0.40041833333333338</v>
      </c>
      <c r="J295" s="290">
        <f t="shared" si="14"/>
        <v>0.52329457142857139</v>
      </c>
      <c r="K295" s="290">
        <f t="shared" si="14"/>
        <v>0.31855</v>
      </c>
      <c r="L295" s="290">
        <f t="shared" si="14"/>
        <v>0.19488581818181819</v>
      </c>
      <c r="M295" s="290">
        <f t="shared" si="14"/>
        <v>0.36141036363636359</v>
      </c>
      <c r="N295" s="290">
        <f t="shared" si="14"/>
        <v>0.4637812</v>
      </c>
      <c r="O295" s="290">
        <f t="shared" si="14"/>
        <v>0.48094166666666666</v>
      </c>
    </row>
    <row r="296" spans="1:15" s="282" customFormat="1" x14ac:dyDescent="0.25">
      <c r="A296" s="372" t="s">
        <v>52</v>
      </c>
      <c r="B296" s="373"/>
      <c r="C296" s="284">
        <f t="shared" ref="C296:O296" si="15">C17+C44+C73+C101+C129+C157+C186+C215+C243+C272</f>
        <v>2500</v>
      </c>
      <c r="D296" s="285">
        <f t="shared" si="15"/>
        <v>131.08599999999998</v>
      </c>
      <c r="E296" s="285">
        <f t="shared" si="15"/>
        <v>86.109000000000023</v>
      </c>
      <c r="F296" s="285">
        <f t="shared" si="15"/>
        <v>319.30700000000002</v>
      </c>
      <c r="G296" s="285">
        <f t="shared" si="15"/>
        <v>2622.9400000000005</v>
      </c>
      <c r="H296" s="285">
        <f t="shared" si="15"/>
        <v>0.93700000000000017</v>
      </c>
      <c r="I296" s="285">
        <f t="shared" si="15"/>
        <v>63.778000000000006</v>
      </c>
      <c r="J296" s="285">
        <f t="shared" si="15"/>
        <v>629.59999999999991</v>
      </c>
      <c r="K296" s="285">
        <f t="shared" si="15"/>
        <v>1.8130000000000002</v>
      </c>
      <c r="L296" s="285">
        <f t="shared" si="15"/>
        <v>2512.27</v>
      </c>
      <c r="M296" s="285">
        <f t="shared" si="15"/>
        <v>2390.6229999999996</v>
      </c>
      <c r="N296" s="285">
        <f t="shared" si="15"/>
        <v>348.06399999999996</v>
      </c>
      <c r="O296" s="285">
        <f t="shared" si="15"/>
        <v>9.6109999999999989</v>
      </c>
    </row>
    <row r="297" spans="1:15" s="282" customFormat="1" x14ac:dyDescent="0.25">
      <c r="A297" s="370" t="s">
        <v>49</v>
      </c>
      <c r="B297" s="371"/>
      <c r="C297" s="284">
        <f>C296/10</f>
        <v>250</v>
      </c>
      <c r="D297" s="285">
        <f>D296/$D$289</f>
        <v>13.108599999999999</v>
      </c>
      <c r="E297" s="285">
        <f t="shared" ref="E297:O297" si="16">E296/$D$289</f>
        <v>8.6109000000000027</v>
      </c>
      <c r="F297" s="285">
        <f t="shared" si="16"/>
        <v>31.930700000000002</v>
      </c>
      <c r="G297" s="285">
        <f t="shared" si="16"/>
        <v>262.29400000000004</v>
      </c>
      <c r="H297" s="285">
        <f t="shared" si="16"/>
        <v>9.3700000000000019E-2</v>
      </c>
      <c r="I297" s="285">
        <f t="shared" si="16"/>
        <v>6.3778000000000006</v>
      </c>
      <c r="J297" s="285">
        <f t="shared" si="16"/>
        <v>62.959999999999994</v>
      </c>
      <c r="K297" s="285">
        <f t="shared" si="16"/>
        <v>0.18130000000000002</v>
      </c>
      <c r="L297" s="285">
        <f t="shared" si="16"/>
        <v>251.227</v>
      </c>
      <c r="M297" s="285">
        <f t="shared" si="16"/>
        <v>239.06229999999996</v>
      </c>
      <c r="N297" s="285">
        <f t="shared" si="16"/>
        <v>34.806399999999996</v>
      </c>
      <c r="O297" s="285">
        <f t="shared" si="16"/>
        <v>0.96109999999999984</v>
      </c>
    </row>
    <row r="298" spans="1:15" s="282" customFormat="1" x14ac:dyDescent="0.25">
      <c r="A298" s="370" t="s">
        <v>50</v>
      </c>
      <c r="B298" s="371"/>
      <c r="C298" s="286"/>
      <c r="D298" s="291">
        <f>4*D297/$G$297</f>
        <v>0.19990697461627024</v>
      </c>
      <c r="E298" s="291">
        <f t="shared" ref="E298:F298" si="17">4*E297/$G$297</f>
        <v>0.13131676668166259</v>
      </c>
      <c r="F298" s="291">
        <f t="shared" si="17"/>
        <v>0.48694518364888251</v>
      </c>
      <c r="G298" s="292"/>
      <c r="H298" s="292"/>
      <c r="I298" s="292"/>
      <c r="J298" s="292"/>
      <c r="K298" s="292"/>
      <c r="L298" s="292"/>
      <c r="M298" s="292"/>
      <c r="N298" s="292"/>
      <c r="O298" s="292"/>
    </row>
    <row r="299" spans="1:15" s="282" customFormat="1" x14ac:dyDescent="0.25">
      <c r="A299" s="370" t="s">
        <v>51</v>
      </c>
      <c r="B299" s="371"/>
      <c r="C299" s="284"/>
      <c r="D299" s="290">
        <f>D297/D311</f>
        <v>0.17024155844155844</v>
      </c>
      <c r="E299" s="290">
        <f t="shared" ref="E299:O299" si="18">E297/E311</f>
        <v>0.10899873417721523</v>
      </c>
      <c r="F299" s="290">
        <f t="shared" si="18"/>
        <v>9.5315522388059709E-2</v>
      </c>
      <c r="G299" s="290">
        <f t="shared" si="18"/>
        <v>0.1116144680851064</v>
      </c>
      <c r="H299" s="290">
        <f t="shared" si="18"/>
        <v>7.8083333333333352E-2</v>
      </c>
      <c r="I299" s="290">
        <f t="shared" si="18"/>
        <v>0.10629666666666668</v>
      </c>
      <c r="J299" s="290">
        <f t="shared" si="18"/>
        <v>8.994285714285713E-2</v>
      </c>
      <c r="K299" s="290">
        <f t="shared" si="18"/>
        <v>1.813E-2</v>
      </c>
      <c r="L299" s="290">
        <f t="shared" si="18"/>
        <v>0.22838818181818182</v>
      </c>
      <c r="M299" s="290">
        <f t="shared" si="18"/>
        <v>0.2173293636363636</v>
      </c>
      <c r="N299" s="290">
        <f t="shared" si="18"/>
        <v>0.13922559999999998</v>
      </c>
      <c r="O299" s="290">
        <f t="shared" si="18"/>
        <v>8.0091666666666658E-2</v>
      </c>
    </row>
    <row r="300" spans="1:15" s="282" customFormat="1" x14ac:dyDescent="0.25">
      <c r="A300" s="372" t="s">
        <v>53</v>
      </c>
      <c r="B300" s="373"/>
      <c r="C300" s="284">
        <f t="shared" ref="C300:O300" si="19">C25+C52+C81+C110+C137+C165+C194+C224+C251+C280</f>
        <v>8035</v>
      </c>
      <c r="D300" s="285">
        <f t="shared" si="19"/>
        <v>303.07100000000003</v>
      </c>
      <c r="E300" s="285">
        <f t="shared" si="19"/>
        <v>232.19699999999997</v>
      </c>
      <c r="F300" s="285">
        <f t="shared" si="19"/>
        <v>1052.8870000000002</v>
      </c>
      <c r="G300" s="285">
        <f t="shared" si="19"/>
        <v>7548.9210000000003</v>
      </c>
      <c r="H300" s="285">
        <f t="shared" si="19"/>
        <v>5.0839999999999996</v>
      </c>
      <c r="I300" s="285">
        <f t="shared" si="19"/>
        <v>392.89899999999989</v>
      </c>
      <c r="J300" s="285">
        <f t="shared" si="19"/>
        <v>4472.9620000000004</v>
      </c>
      <c r="K300" s="285">
        <f t="shared" si="19"/>
        <v>54.399000000000001</v>
      </c>
      <c r="L300" s="285">
        <f t="shared" si="19"/>
        <v>1887.4020000000003</v>
      </c>
      <c r="M300" s="285">
        <f t="shared" si="19"/>
        <v>4435.3450000000003</v>
      </c>
      <c r="N300" s="285">
        <f t="shared" si="19"/>
        <v>1267.154</v>
      </c>
      <c r="O300" s="285">
        <f t="shared" si="19"/>
        <v>68.656999999999996</v>
      </c>
    </row>
    <row r="301" spans="1:15" s="282" customFormat="1" x14ac:dyDescent="0.25">
      <c r="A301" s="370" t="s">
        <v>54</v>
      </c>
      <c r="B301" s="371"/>
      <c r="C301" s="284">
        <f>C300/10</f>
        <v>803.5</v>
      </c>
      <c r="D301" s="285">
        <f>D300/$D$289</f>
        <v>30.307100000000002</v>
      </c>
      <c r="E301" s="285">
        <f t="shared" ref="E301:O301" si="20">E300/$D$289</f>
        <v>23.219699999999996</v>
      </c>
      <c r="F301" s="285">
        <f t="shared" si="20"/>
        <v>105.28870000000002</v>
      </c>
      <c r="G301" s="285">
        <f t="shared" si="20"/>
        <v>754.89210000000003</v>
      </c>
      <c r="H301" s="285">
        <f t="shared" si="20"/>
        <v>0.50839999999999996</v>
      </c>
      <c r="I301" s="285">
        <f t="shared" si="20"/>
        <v>39.289899999999989</v>
      </c>
      <c r="J301" s="285">
        <f t="shared" si="20"/>
        <v>447.29620000000006</v>
      </c>
      <c r="K301" s="285">
        <f t="shared" si="20"/>
        <v>5.4398999999999997</v>
      </c>
      <c r="L301" s="285">
        <f t="shared" si="20"/>
        <v>188.74020000000002</v>
      </c>
      <c r="M301" s="285">
        <f t="shared" si="20"/>
        <v>443.53450000000004</v>
      </c>
      <c r="N301" s="285">
        <f t="shared" si="20"/>
        <v>126.7154</v>
      </c>
      <c r="O301" s="285">
        <f t="shared" si="20"/>
        <v>6.8656999999999995</v>
      </c>
    </row>
    <row r="302" spans="1:15" s="282" customFormat="1" x14ac:dyDescent="0.25">
      <c r="A302" s="370" t="s">
        <v>50</v>
      </c>
      <c r="B302" s="371"/>
      <c r="C302" s="293"/>
      <c r="D302" s="287">
        <f>4*D301/$G$301</f>
        <v>0.16059036781547986</v>
      </c>
      <c r="E302" s="287">
        <f t="shared" ref="E302:F302" si="21">4*E301/$G$301</f>
        <v>0.12303586168142439</v>
      </c>
      <c r="F302" s="287">
        <f t="shared" si="21"/>
        <v>0.55790065891536034</v>
      </c>
      <c r="G302" s="289"/>
      <c r="H302" s="289"/>
      <c r="I302" s="289"/>
      <c r="J302" s="289"/>
      <c r="K302" s="289"/>
      <c r="L302" s="289"/>
      <c r="M302" s="289"/>
      <c r="N302" s="289"/>
      <c r="O302" s="289"/>
    </row>
    <row r="303" spans="1:15" s="282" customFormat="1" x14ac:dyDescent="0.25">
      <c r="A303" s="370" t="s">
        <v>51</v>
      </c>
      <c r="B303" s="371"/>
      <c r="C303" s="293"/>
      <c r="D303" s="290">
        <f>D301/D311</f>
        <v>0.39359870129870134</v>
      </c>
      <c r="E303" s="290">
        <f t="shared" ref="E303:O303" si="22">E301/E311</f>
        <v>0.29392025316455689</v>
      </c>
      <c r="F303" s="290">
        <f t="shared" si="22"/>
        <v>0.31429462686567172</v>
      </c>
      <c r="G303" s="290">
        <f t="shared" si="22"/>
        <v>0.32123068085106382</v>
      </c>
      <c r="H303" s="290">
        <f t="shared" si="22"/>
        <v>0.42366666666666664</v>
      </c>
      <c r="I303" s="290">
        <f t="shared" si="22"/>
        <v>0.65483166666666648</v>
      </c>
      <c r="J303" s="290">
        <f t="shared" si="22"/>
        <v>0.63899457142857152</v>
      </c>
      <c r="K303" s="290">
        <f t="shared" si="22"/>
        <v>0.54398999999999997</v>
      </c>
      <c r="L303" s="290">
        <f t="shared" si="22"/>
        <v>0.17158200000000001</v>
      </c>
      <c r="M303" s="290">
        <f t="shared" si="22"/>
        <v>0.40321318181818183</v>
      </c>
      <c r="N303" s="290">
        <f t="shared" si="22"/>
        <v>0.50686160000000002</v>
      </c>
      <c r="O303" s="290">
        <f t="shared" si="22"/>
        <v>0.57214166666666666</v>
      </c>
    </row>
    <row r="304" spans="1:15" s="282" customFormat="1" x14ac:dyDescent="0.25">
      <c r="A304" s="372" t="s">
        <v>55</v>
      </c>
      <c r="B304" s="373"/>
      <c r="C304" s="284">
        <f t="shared" ref="C304:O304" si="23">C29+C56+C85+C114+C141+C169+C198+C228+C255+C284</f>
        <v>2500</v>
      </c>
      <c r="D304" s="285">
        <f t="shared" si="23"/>
        <v>131.08599999999998</v>
      </c>
      <c r="E304" s="285">
        <f t="shared" si="23"/>
        <v>86.109000000000023</v>
      </c>
      <c r="F304" s="285">
        <f t="shared" si="23"/>
        <v>319.30700000000002</v>
      </c>
      <c r="G304" s="285">
        <f t="shared" si="23"/>
        <v>2622.9400000000005</v>
      </c>
      <c r="H304" s="285">
        <f t="shared" si="23"/>
        <v>0.93700000000000017</v>
      </c>
      <c r="I304" s="285">
        <f t="shared" si="23"/>
        <v>63.778000000000006</v>
      </c>
      <c r="J304" s="285">
        <f t="shared" si="23"/>
        <v>629.59999999999991</v>
      </c>
      <c r="K304" s="285">
        <f t="shared" si="23"/>
        <v>1.8130000000000002</v>
      </c>
      <c r="L304" s="285">
        <f t="shared" si="23"/>
        <v>2512.27</v>
      </c>
      <c r="M304" s="285">
        <f t="shared" si="23"/>
        <v>2390.6229999999996</v>
      </c>
      <c r="N304" s="285">
        <f t="shared" si="23"/>
        <v>348.06399999999996</v>
      </c>
      <c r="O304" s="285">
        <f t="shared" si="23"/>
        <v>9.6109999999999989</v>
      </c>
    </row>
    <row r="305" spans="1:15" s="282" customFormat="1" x14ac:dyDescent="0.25">
      <c r="A305" s="370" t="s">
        <v>56</v>
      </c>
      <c r="B305" s="371"/>
      <c r="C305" s="284">
        <f>C304/10</f>
        <v>250</v>
      </c>
      <c r="D305" s="285">
        <f>D304/$D$289</f>
        <v>13.108599999999999</v>
      </c>
      <c r="E305" s="285">
        <f t="shared" ref="E305:O305" si="24">E304/$D$289</f>
        <v>8.6109000000000027</v>
      </c>
      <c r="F305" s="285">
        <f t="shared" si="24"/>
        <v>31.930700000000002</v>
      </c>
      <c r="G305" s="285">
        <f t="shared" si="24"/>
        <v>262.29400000000004</v>
      </c>
      <c r="H305" s="285">
        <f t="shared" si="24"/>
        <v>9.3700000000000019E-2</v>
      </c>
      <c r="I305" s="285">
        <f t="shared" si="24"/>
        <v>6.3778000000000006</v>
      </c>
      <c r="J305" s="285">
        <f t="shared" si="24"/>
        <v>62.959999999999994</v>
      </c>
      <c r="K305" s="285">
        <f t="shared" si="24"/>
        <v>0.18130000000000002</v>
      </c>
      <c r="L305" s="285">
        <f t="shared" si="24"/>
        <v>251.227</v>
      </c>
      <c r="M305" s="285">
        <f t="shared" si="24"/>
        <v>239.06229999999996</v>
      </c>
      <c r="N305" s="285">
        <f t="shared" si="24"/>
        <v>34.806399999999996</v>
      </c>
      <c r="O305" s="285">
        <f t="shared" si="24"/>
        <v>0.96109999999999984</v>
      </c>
    </row>
    <row r="306" spans="1:15" s="282" customFormat="1" x14ac:dyDescent="0.25">
      <c r="A306" s="370" t="s">
        <v>50</v>
      </c>
      <c r="B306" s="371"/>
      <c r="C306" s="293"/>
      <c r="D306" s="287">
        <f>4*D304/$G$304</f>
        <v>0.19990697461627022</v>
      </c>
      <c r="E306" s="287">
        <f t="shared" ref="E306:F306" si="25">4*E304/$G$304</f>
        <v>0.13131676668166256</v>
      </c>
      <c r="F306" s="287">
        <f t="shared" si="25"/>
        <v>0.48694518364888251</v>
      </c>
      <c r="G306" s="289"/>
      <c r="H306" s="289"/>
      <c r="I306" s="289"/>
      <c r="J306" s="289"/>
      <c r="K306" s="289"/>
      <c r="L306" s="289"/>
      <c r="M306" s="289"/>
      <c r="N306" s="289"/>
      <c r="O306" s="289"/>
    </row>
    <row r="307" spans="1:15" s="282" customFormat="1" x14ac:dyDescent="0.25">
      <c r="A307" s="370" t="s">
        <v>51</v>
      </c>
      <c r="B307" s="371"/>
      <c r="C307" s="294"/>
      <c r="D307" s="290">
        <f>D305/D311</f>
        <v>0.17024155844155844</v>
      </c>
      <c r="E307" s="290">
        <f t="shared" ref="E307:O307" si="26">E305/E311</f>
        <v>0.10899873417721523</v>
      </c>
      <c r="F307" s="290">
        <f t="shared" si="26"/>
        <v>9.5315522388059709E-2</v>
      </c>
      <c r="G307" s="290">
        <f t="shared" si="26"/>
        <v>0.1116144680851064</v>
      </c>
      <c r="H307" s="290">
        <f t="shared" si="26"/>
        <v>7.8083333333333352E-2</v>
      </c>
      <c r="I307" s="290">
        <f t="shared" si="26"/>
        <v>0.10629666666666668</v>
      </c>
      <c r="J307" s="290">
        <f t="shared" si="26"/>
        <v>8.994285714285713E-2</v>
      </c>
      <c r="K307" s="290">
        <f t="shared" si="26"/>
        <v>1.813E-2</v>
      </c>
      <c r="L307" s="290">
        <f t="shared" si="26"/>
        <v>0.22838818181818182</v>
      </c>
      <c r="M307" s="290">
        <f t="shared" si="26"/>
        <v>0.2173293636363636</v>
      </c>
      <c r="N307" s="290">
        <f t="shared" si="26"/>
        <v>0.13922559999999998</v>
      </c>
      <c r="O307" s="290">
        <f t="shared" si="26"/>
        <v>8.0091666666666658E-2</v>
      </c>
    </row>
    <row r="308" spans="1:15" s="282" customFormat="1" x14ac:dyDescent="0.25">
      <c r="A308" s="372" t="s">
        <v>57</v>
      </c>
      <c r="B308" s="373"/>
      <c r="C308" s="294"/>
      <c r="D308" s="295">
        <f>D286</f>
        <v>817.82399999999996</v>
      </c>
      <c r="E308" s="295">
        <f t="shared" ref="E308:O308" si="27">E286</f>
        <v>606.97599999999989</v>
      </c>
      <c r="F308" s="295">
        <f t="shared" si="27"/>
        <v>2553.4830000000002</v>
      </c>
      <c r="G308" s="295">
        <f t="shared" si="27"/>
        <v>19108.349000000002</v>
      </c>
      <c r="H308" s="295">
        <f t="shared" si="27"/>
        <v>10.576000000000001</v>
      </c>
      <c r="I308" s="295">
        <f t="shared" si="27"/>
        <v>760.70399999999995</v>
      </c>
      <c r="J308" s="295">
        <f t="shared" si="27"/>
        <v>9395.2240000000002</v>
      </c>
      <c r="K308" s="295">
        <f t="shared" si="27"/>
        <v>89.877999999999986</v>
      </c>
      <c r="L308" s="295">
        <f t="shared" si="27"/>
        <v>9055.6859999999997</v>
      </c>
      <c r="M308" s="295">
        <f t="shared" si="27"/>
        <v>13192.105</v>
      </c>
      <c r="N308" s="295">
        <f t="shared" si="27"/>
        <v>3122.7340000000004</v>
      </c>
      <c r="O308" s="295">
        <f t="shared" si="27"/>
        <v>145.59100000000001</v>
      </c>
    </row>
    <row r="309" spans="1:15" s="282" customFormat="1" x14ac:dyDescent="0.25">
      <c r="A309" s="370" t="s">
        <v>58</v>
      </c>
      <c r="B309" s="371"/>
      <c r="C309" s="294"/>
      <c r="D309" s="296">
        <f>D308/10</f>
        <v>81.782399999999996</v>
      </c>
      <c r="E309" s="296">
        <f t="shared" ref="E309:O309" si="28">E308/10</f>
        <v>60.697599999999987</v>
      </c>
      <c r="F309" s="296">
        <f t="shared" si="28"/>
        <v>255.34830000000002</v>
      </c>
      <c r="G309" s="296">
        <f t="shared" si="28"/>
        <v>1910.8349000000003</v>
      </c>
      <c r="H309" s="296">
        <f t="shared" si="28"/>
        <v>1.0576000000000001</v>
      </c>
      <c r="I309" s="296">
        <f t="shared" si="28"/>
        <v>76.070399999999992</v>
      </c>
      <c r="J309" s="296">
        <f t="shared" si="28"/>
        <v>939.52240000000006</v>
      </c>
      <c r="K309" s="296">
        <f t="shared" si="28"/>
        <v>8.9877999999999982</v>
      </c>
      <c r="L309" s="296">
        <f t="shared" si="28"/>
        <v>905.56859999999995</v>
      </c>
      <c r="M309" s="296">
        <f t="shared" si="28"/>
        <v>1319.2104999999999</v>
      </c>
      <c r="N309" s="296">
        <f t="shared" si="28"/>
        <v>312.27340000000004</v>
      </c>
      <c r="O309" s="296">
        <f t="shared" si="28"/>
        <v>14.559100000000001</v>
      </c>
    </row>
    <row r="310" spans="1:15" s="282" customFormat="1" x14ac:dyDescent="0.25">
      <c r="A310" s="370" t="s">
        <v>50</v>
      </c>
      <c r="B310" s="371"/>
      <c r="C310" s="294"/>
      <c r="D310" s="297">
        <f>4*D309/$G$309</f>
        <v>0.171197208089511</v>
      </c>
      <c r="E310" s="297">
        <f t="shared" ref="E310:F310" si="29">4*E309/$G$309</f>
        <v>0.1270598522143383</v>
      </c>
      <c r="F310" s="297">
        <f t="shared" si="29"/>
        <v>0.53452718494936424</v>
      </c>
      <c r="G310" s="298"/>
      <c r="H310" s="298"/>
      <c r="I310" s="298"/>
      <c r="J310" s="298"/>
      <c r="K310" s="298"/>
      <c r="L310" s="298"/>
      <c r="M310" s="298"/>
      <c r="N310" s="298"/>
      <c r="O310" s="298"/>
    </row>
    <row r="311" spans="1:15" s="282" customFormat="1" x14ac:dyDescent="0.25">
      <c r="A311" s="370" t="s">
        <v>59</v>
      </c>
      <c r="B311" s="371"/>
      <c r="C311" s="294"/>
      <c r="D311" s="308">
        <v>77</v>
      </c>
      <c r="E311" s="308">
        <v>79</v>
      </c>
      <c r="F311" s="308">
        <v>335</v>
      </c>
      <c r="G311" s="308">
        <v>2350</v>
      </c>
      <c r="H311" s="308">
        <v>1.2</v>
      </c>
      <c r="I311" s="308">
        <v>60</v>
      </c>
      <c r="J311" s="308">
        <v>700</v>
      </c>
      <c r="K311" s="308">
        <v>10</v>
      </c>
      <c r="L311" s="308">
        <v>1100</v>
      </c>
      <c r="M311" s="308">
        <v>1100</v>
      </c>
      <c r="N311" s="308">
        <v>250</v>
      </c>
      <c r="O311" s="308">
        <v>12</v>
      </c>
    </row>
    <row r="312" spans="1:15" s="282" customFormat="1" x14ac:dyDescent="0.25">
      <c r="A312" s="374"/>
      <c r="B312" s="375"/>
      <c r="C312" s="294"/>
      <c r="D312" s="294"/>
      <c r="E312" s="294"/>
      <c r="F312" s="294"/>
      <c r="G312" s="294"/>
      <c r="H312" s="299"/>
      <c r="I312" s="299"/>
      <c r="J312" s="299"/>
      <c r="K312" s="299"/>
      <c r="L312" s="299"/>
      <c r="M312" s="299"/>
      <c r="N312" s="299"/>
      <c r="O312" s="299"/>
    </row>
  </sheetData>
  <mergeCells count="36">
    <mergeCell ref="A310:B310"/>
    <mergeCell ref="A311:B311"/>
    <mergeCell ref="A312:B312"/>
    <mergeCell ref="A304:B304"/>
    <mergeCell ref="A305:B305"/>
    <mergeCell ref="A306:B306"/>
    <mergeCell ref="A307:B307"/>
    <mergeCell ref="A308:B308"/>
    <mergeCell ref="A309:B309"/>
    <mergeCell ref="A303:B303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1:O1"/>
    <mergeCell ref="A290:B291"/>
    <mergeCell ref="C290:C291"/>
    <mergeCell ref="D290:F290"/>
    <mergeCell ref="G290:G291"/>
    <mergeCell ref="H290:K290"/>
    <mergeCell ref="L290:O290"/>
    <mergeCell ref="A4:A5"/>
    <mergeCell ref="B4:B5"/>
    <mergeCell ref="C4:C5"/>
    <mergeCell ref="D4:F4"/>
    <mergeCell ref="G4:G5"/>
    <mergeCell ref="H4:K4"/>
    <mergeCell ref="L4:O4"/>
    <mergeCell ref="A7:O7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68" max="14" man="1"/>
    <brk id="28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view="pageBreakPreview" zoomScale="106" zoomScaleNormal="100" zoomScaleSheetLayoutView="106" workbookViewId="0">
      <selection activeCell="C41" sqref="C41"/>
    </sheetView>
    <sheetView workbookViewId="1"/>
  </sheetViews>
  <sheetFormatPr defaultColWidth="9.140625" defaultRowHeight="11.25" x14ac:dyDescent="0.2"/>
  <cols>
    <col min="1" max="1" width="9.140625" style="16"/>
    <col min="2" max="2" width="14.140625" style="16" customWidth="1"/>
    <col min="3" max="3" width="7.5703125" style="16" customWidth="1"/>
    <col min="4" max="4" width="7.140625" style="16" customWidth="1"/>
    <col min="5" max="5" width="6.42578125" style="16" customWidth="1"/>
    <col min="6" max="6" width="11.42578125" style="16" customWidth="1"/>
    <col min="7" max="7" width="9.140625" style="16"/>
    <col min="8" max="11" width="9.42578125" style="16" bestFit="1" customWidth="1"/>
    <col min="12" max="12" width="9.140625" style="16"/>
    <col min="13" max="14" width="9.42578125" style="16" bestFit="1" customWidth="1"/>
    <col min="15" max="15" width="10.28515625" style="16" customWidth="1"/>
    <col min="16" max="16384" width="9.140625" style="16"/>
  </cols>
  <sheetData>
    <row r="1" spans="1:15" ht="12.75" x14ac:dyDescent="0.2">
      <c r="N1" s="1"/>
      <c r="O1" s="2" t="s">
        <v>60</v>
      </c>
    </row>
    <row r="2" spans="1:15" ht="32.25" customHeight="1" x14ac:dyDescent="0.2">
      <c r="A2" s="388" t="s">
        <v>78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</row>
    <row r="3" spans="1:15" x14ac:dyDescent="0.2">
      <c r="A3" s="4" t="s">
        <v>46</v>
      </c>
    </row>
    <row r="4" spans="1:15" ht="8.25" customHeight="1" thickBot="1" x14ac:dyDescent="0.25">
      <c r="A4" s="4"/>
    </row>
    <row r="5" spans="1:15" s="3" customFormat="1" ht="12" x14ac:dyDescent="0.2">
      <c r="A5" s="376" t="s">
        <v>59</v>
      </c>
      <c r="B5" s="377"/>
      <c r="C5" s="5">
        <v>77</v>
      </c>
      <c r="D5" s="5">
        <v>79</v>
      </c>
      <c r="E5" s="5">
        <v>335</v>
      </c>
      <c r="F5" s="5">
        <v>2350</v>
      </c>
    </row>
    <row r="6" spans="1:15" s="3" customFormat="1" x14ac:dyDescent="0.2">
      <c r="A6" s="378" t="s">
        <v>61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</row>
    <row r="7" spans="1:15" s="3" customFormat="1" ht="12.75" customHeight="1" x14ac:dyDescent="0.2">
      <c r="A7" s="379" t="s">
        <v>1</v>
      </c>
      <c r="B7" s="379"/>
      <c r="C7" s="381" t="s">
        <v>3</v>
      </c>
      <c r="D7" s="381"/>
      <c r="E7" s="381"/>
      <c r="F7" s="379" t="s">
        <v>4</v>
      </c>
      <c r="H7" s="382" t="s">
        <v>62</v>
      </c>
      <c r="I7" s="383"/>
      <c r="J7" s="383"/>
      <c r="K7" s="384"/>
      <c r="M7" s="382" t="s">
        <v>63</v>
      </c>
      <c r="N7" s="383"/>
      <c r="O7" s="383"/>
    </row>
    <row r="8" spans="1:15" s="3" customFormat="1" ht="18.75" customHeight="1" x14ac:dyDescent="0.2">
      <c r="A8" s="380"/>
      <c r="B8" s="380"/>
      <c r="C8" s="6" t="s">
        <v>7</v>
      </c>
      <c r="D8" s="6" t="s">
        <v>8</v>
      </c>
      <c r="E8" s="6" t="s">
        <v>9</v>
      </c>
      <c r="F8" s="380"/>
      <c r="H8" s="7" t="str">
        <f>C8</f>
        <v>Б</v>
      </c>
      <c r="I8" s="7" t="str">
        <f>D8</f>
        <v>Ж</v>
      </c>
      <c r="J8" s="7" t="str">
        <f>E8</f>
        <v>У</v>
      </c>
      <c r="K8" s="7" t="s">
        <v>64</v>
      </c>
      <c r="M8" s="7" t="str">
        <f>H8</f>
        <v>Б</v>
      </c>
      <c r="N8" s="7" t="str">
        <f>I8</f>
        <v>Ж</v>
      </c>
      <c r="O8" s="7" t="str">
        <f>J8</f>
        <v>У</v>
      </c>
    </row>
    <row r="9" spans="1:15" s="3" customFormat="1" x14ac:dyDescent="0.2">
      <c r="A9" s="385" t="s">
        <v>65</v>
      </c>
      <c r="B9" s="385"/>
      <c r="C9" s="8">
        <f>'Проект_Меню ХЭХ ЖКТ'!D13</f>
        <v>20.199000000000002</v>
      </c>
      <c r="D9" s="8">
        <f>'Проект_Меню ХЭХ ЖКТ'!E13</f>
        <v>20.457999999999998</v>
      </c>
      <c r="E9" s="8">
        <f>'Проект_Меню ХЭХ ЖКТ'!F13</f>
        <v>95.875</v>
      </c>
      <c r="F9" s="8">
        <f>'Проект_Меню ХЭХ ЖКТ'!G13</f>
        <v>653.19899999999996</v>
      </c>
      <c r="H9" s="9">
        <f>C9/$C$5</f>
        <v>0.26232467532467535</v>
      </c>
      <c r="I9" s="9">
        <f>D9/$D$5</f>
        <v>0.25896202531645568</v>
      </c>
      <c r="J9" s="9">
        <f>E9/$E$5</f>
        <v>0.28619402985074627</v>
      </c>
      <c r="K9" s="9">
        <f>F9/$F$5</f>
        <v>0.27795702127659572</v>
      </c>
      <c r="M9" s="9">
        <f>4*C9/F9</f>
        <v>0.12369277968888504</v>
      </c>
      <c r="N9" s="9">
        <f>9*D9/F9</f>
        <v>0.28187734518883217</v>
      </c>
      <c r="O9" s="9">
        <f>4*E9/F9</f>
        <v>0.58711051302895445</v>
      </c>
    </row>
    <row r="10" spans="1:15" s="3" customFormat="1" x14ac:dyDescent="0.2">
      <c r="A10" s="385" t="s">
        <v>66</v>
      </c>
      <c r="B10" s="385"/>
      <c r="C10" s="8">
        <f>'Проект_Меню ХЭХ ЖКТ'!D40</f>
        <v>28.516000000000002</v>
      </c>
      <c r="D10" s="8">
        <f>'Проект_Меню ХЭХ ЖКТ'!E40</f>
        <v>16.457000000000001</v>
      </c>
      <c r="E10" s="8">
        <f>'Проект_Меню ХЭХ ЖКТ'!F40</f>
        <v>63.128999999999998</v>
      </c>
      <c r="F10" s="8">
        <f>'Проект_Меню ХЭХ ЖКТ'!G40</f>
        <v>516.83600000000001</v>
      </c>
      <c r="H10" s="9">
        <f t="shared" ref="H10:H19" si="0">C10/$C$5</f>
        <v>0.37033766233766235</v>
      </c>
      <c r="I10" s="9">
        <f t="shared" ref="I10:I19" si="1">D10/$D$5</f>
        <v>0.20831645569620255</v>
      </c>
      <c r="J10" s="9">
        <f t="shared" ref="J10:J19" si="2">E10/$E$5</f>
        <v>0.18844477611940297</v>
      </c>
      <c r="K10" s="9">
        <f t="shared" ref="K10:K19" si="3">F10/$F$5</f>
        <v>0.21993021276595745</v>
      </c>
      <c r="M10" s="9">
        <f t="shared" ref="M10:M18" si="4">4*C10/F10</f>
        <v>0.22069670069422409</v>
      </c>
      <c r="N10" s="9">
        <f t="shared" ref="N10:N18" si="5">9*D10/F10</f>
        <v>0.28657639947681662</v>
      </c>
      <c r="O10" s="9">
        <f t="shared" ref="O10:O18" si="6">4*E10/F10</f>
        <v>0.48858051683706238</v>
      </c>
    </row>
    <row r="11" spans="1:15" s="3" customFormat="1" x14ac:dyDescent="0.2">
      <c r="A11" s="385" t="s">
        <v>67</v>
      </c>
      <c r="B11" s="385"/>
      <c r="C11" s="8">
        <f>'Проект_Меню ХЭХ ЖКТ'!D69</f>
        <v>32.608000000000004</v>
      </c>
      <c r="D11" s="8">
        <f>'Проект_Меню ХЭХ ЖКТ'!E69</f>
        <v>25.91</v>
      </c>
      <c r="E11" s="8">
        <f>'Проект_Меню ХЭХ ЖКТ'!F69</f>
        <v>118.075</v>
      </c>
      <c r="F11" s="8">
        <f>'Проект_Меню ХЭХ ЖКТ'!G69</f>
        <v>836.59900000000005</v>
      </c>
      <c r="H11" s="9">
        <f t="shared" si="0"/>
        <v>0.42348051948051951</v>
      </c>
      <c r="I11" s="9">
        <f t="shared" si="1"/>
        <v>0.32797468354430381</v>
      </c>
      <c r="J11" s="9">
        <f t="shared" si="2"/>
        <v>0.35246268656716417</v>
      </c>
      <c r="K11" s="9">
        <f t="shared" si="3"/>
        <v>0.35599957446808511</v>
      </c>
      <c r="M11" s="9">
        <f t="shared" si="4"/>
        <v>0.15590742996345922</v>
      </c>
      <c r="N11" s="9">
        <f t="shared" si="5"/>
        <v>0.27873569057577163</v>
      </c>
      <c r="O11" s="9">
        <f t="shared" si="6"/>
        <v>0.56454765066656787</v>
      </c>
    </row>
    <row r="12" spans="1:15" s="3" customFormat="1" x14ac:dyDescent="0.2">
      <c r="A12" s="385" t="s">
        <v>68</v>
      </c>
      <c r="B12" s="385"/>
      <c r="C12" s="8">
        <f>'Проект_Меню ХЭХ ЖКТ'!D97</f>
        <v>25.334</v>
      </c>
      <c r="D12" s="8">
        <f>'Проект_Меню ХЭХ ЖКТ'!E97</f>
        <v>25.283000000000001</v>
      </c>
      <c r="E12" s="8">
        <f>'Проект_Меню ХЭХ ЖКТ'!F97</f>
        <v>78.960999999999999</v>
      </c>
      <c r="F12" s="8">
        <f>'Проект_Меню ХЭХ ЖКТ'!G97</f>
        <v>646.48</v>
      </c>
      <c r="H12" s="9">
        <f t="shared" si="0"/>
        <v>0.32901298701298703</v>
      </c>
      <c r="I12" s="9">
        <f t="shared" si="1"/>
        <v>0.32003797468354434</v>
      </c>
      <c r="J12" s="9">
        <f t="shared" si="2"/>
        <v>0.2357044776119403</v>
      </c>
      <c r="K12" s="9">
        <f t="shared" si="3"/>
        <v>0.27509787234042554</v>
      </c>
      <c r="M12" s="9">
        <f t="shared" si="4"/>
        <v>0.15675040217794828</v>
      </c>
      <c r="N12" s="9">
        <f t="shared" si="5"/>
        <v>0.35197840613785425</v>
      </c>
      <c r="O12" s="9">
        <f t="shared" si="6"/>
        <v>0.488559584209875</v>
      </c>
    </row>
    <row r="13" spans="1:15" s="3" customFormat="1" x14ac:dyDescent="0.2">
      <c r="A13" s="385" t="s">
        <v>69</v>
      </c>
      <c r="B13" s="385"/>
      <c r="C13" s="8">
        <f>'Проект_Меню ХЭХ ЖКТ'!D125</f>
        <v>20.091000000000001</v>
      </c>
      <c r="D13" s="8">
        <f>'Проект_Меню ХЭХ ЖКТ'!E125</f>
        <v>21.724</v>
      </c>
      <c r="E13" s="8">
        <f>'Проект_Меню ХЭХ ЖКТ'!F125</f>
        <v>48.475999999999999</v>
      </c>
      <c r="F13" s="8">
        <f>'Проект_Меню ХЭХ ЖКТ'!G125</f>
        <v>473.17200000000003</v>
      </c>
      <c r="H13" s="9">
        <f t="shared" si="0"/>
        <v>0.26092207792207794</v>
      </c>
      <c r="I13" s="9">
        <f t="shared" si="1"/>
        <v>0.27498734177215189</v>
      </c>
      <c r="J13" s="9">
        <f t="shared" si="2"/>
        <v>0.1447044776119403</v>
      </c>
      <c r="K13" s="9">
        <f t="shared" si="3"/>
        <v>0.20134978723404257</v>
      </c>
      <c r="M13" s="9">
        <f t="shared" si="4"/>
        <v>0.16984098805508357</v>
      </c>
      <c r="N13" s="9">
        <f t="shared" si="5"/>
        <v>0.41320280997184949</v>
      </c>
      <c r="O13" s="9">
        <f t="shared" si="6"/>
        <v>0.40979601497975365</v>
      </c>
    </row>
    <row r="14" spans="1:15" s="3" customFormat="1" x14ac:dyDescent="0.2">
      <c r="A14" s="385" t="s">
        <v>70</v>
      </c>
      <c r="B14" s="385"/>
      <c r="C14" s="8">
        <f>'Проект_Меню ХЭХ ЖКТ'!D153</f>
        <v>23.021000000000001</v>
      </c>
      <c r="D14" s="8">
        <f>'Проект_Меню ХЭХ ЖКТ'!E153</f>
        <v>20.882999999999999</v>
      </c>
      <c r="E14" s="8">
        <f>'Проект_Меню ХЭХ ЖКТ'!F153</f>
        <v>72.986999999999995</v>
      </c>
      <c r="F14" s="8">
        <f>'Проект_Меню ХЭХ ЖКТ'!G153</f>
        <v>575.32600000000002</v>
      </c>
      <c r="H14" s="9">
        <f t="shared" si="0"/>
        <v>0.298974025974026</v>
      </c>
      <c r="I14" s="9">
        <f t="shared" si="1"/>
        <v>0.26434177215189875</v>
      </c>
      <c r="J14" s="9">
        <f t="shared" si="2"/>
        <v>0.21787164179104476</v>
      </c>
      <c r="K14" s="9">
        <f t="shared" si="3"/>
        <v>0.24481957446808511</v>
      </c>
      <c r="M14" s="9">
        <f t="shared" si="4"/>
        <v>0.16005534253623163</v>
      </c>
      <c r="N14" s="9">
        <f t="shared" si="5"/>
        <v>0.32667913496000528</v>
      </c>
      <c r="O14" s="9">
        <f t="shared" si="6"/>
        <v>0.5074479512485095</v>
      </c>
    </row>
    <row r="15" spans="1:15" s="3" customFormat="1" x14ac:dyDescent="0.2">
      <c r="A15" s="385" t="s">
        <v>71</v>
      </c>
      <c r="B15" s="385"/>
      <c r="C15" s="8">
        <f>'Проект_Меню ХЭХ ЖКТ'!D182</f>
        <v>19.837</v>
      </c>
      <c r="D15" s="8">
        <f>'Проект_Меню ХЭХ ЖКТ'!E182</f>
        <v>7.0519999999999996</v>
      </c>
      <c r="E15" s="8">
        <f>'Проект_Меню ХЭХ ЖКТ'!F182</f>
        <v>78.843999999999994</v>
      </c>
      <c r="F15" s="8">
        <f>'Проект_Меню ХЭХ ЖКТ'!G182</f>
        <v>462.57499999999999</v>
      </c>
      <c r="H15" s="9">
        <f t="shared" si="0"/>
        <v>0.25762337662337664</v>
      </c>
      <c r="I15" s="9">
        <f t="shared" si="1"/>
        <v>8.9265822784810128E-2</v>
      </c>
      <c r="J15" s="9">
        <f t="shared" si="2"/>
        <v>0.23535522388059699</v>
      </c>
      <c r="K15" s="9">
        <f t="shared" si="3"/>
        <v>0.19684042553191489</v>
      </c>
      <c r="M15" s="9">
        <f t="shared" si="4"/>
        <v>0.17153542668756419</v>
      </c>
      <c r="N15" s="9">
        <f>9*D15/F15</f>
        <v>0.1372058585094309</v>
      </c>
      <c r="O15" s="9">
        <f t="shared" si="6"/>
        <v>0.68178349456844833</v>
      </c>
    </row>
    <row r="16" spans="1:15" s="3" customFormat="1" x14ac:dyDescent="0.2">
      <c r="A16" s="385" t="s">
        <v>72</v>
      </c>
      <c r="B16" s="385"/>
      <c r="C16" s="8">
        <f>'Проект_Меню ХЭХ ЖКТ'!D211</f>
        <v>21.855</v>
      </c>
      <c r="D16" s="8">
        <f>'Проект_Меню ХЭХ ЖКТ'!E211</f>
        <v>21.712</v>
      </c>
      <c r="E16" s="8">
        <f>'Проект_Меню ХЭХ ЖКТ'!F211</f>
        <v>85.825000000000003</v>
      </c>
      <c r="F16" s="8">
        <f>'Проект_Меню ХЭХ ЖКТ'!G211</f>
        <v>629.04300000000001</v>
      </c>
      <c r="H16" s="9">
        <f t="shared" si="0"/>
        <v>0.28383116883116882</v>
      </c>
      <c r="I16" s="9">
        <f t="shared" si="1"/>
        <v>0.27483544303797469</v>
      </c>
      <c r="J16" s="9">
        <f t="shared" si="2"/>
        <v>0.2561940298507463</v>
      </c>
      <c r="K16" s="9">
        <f t="shared" si="3"/>
        <v>0.26767787234042556</v>
      </c>
      <c r="M16" s="9">
        <f t="shared" si="4"/>
        <v>0.13897301138395945</v>
      </c>
      <c r="N16" s="9">
        <f t="shared" si="5"/>
        <v>0.31064331055269667</v>
      </c>
      <c r="O16" s="9">
        <f t="shared" si="6"/>
        <v>0.54574965463410297</v>
      </c>
    </row>
    <row r="17" spans="1:15" s="3" customFormat="1" x14ac:dyDescent="0.2">
      <c r="A17" s="385" t="s">
        <v>73</v>
      </c>
      <c r="B17" s="385"/>
      <c r="C17" s="8">
        <f>'Проект_Меню ХЭХ ЖКТ'!D239</f>
        <v>35.682000000000002</v>
      </c>
      <c r="D17" s="8">
        <f>'Проект_Меню ХЭХ ЖКТ'!E239</f>
        <v>21.978000000000002</v>
      </c>
      <c r="E17" s="8">
        <f>'Проект_Меню ХЭХ ЖКТ'!F239</f>
        <v>119.843</v>
      </c>
      <c r="F17" s="8">
        <f>'Проект_Меню ХЭХ ЖКТ'!G239</f>
        <v>830.20699999999999</v>
      </c>
      <c r="H17" s="9">
        <f t="shared" si="0"/>
        <v>0.46340259740259743</v>
      </c>
      <c r="I17" s="9">
        <f t="shared" si="1"/>
        <v>0.27820253164556963</v>
      </c>
      <c r="J17" s="9">
        <f t="shared" si="2"/>
        <v>0.3577402985074627</v>
      </c>
      <c r="K17" s="9">
        <f t="shared" si="3"/>
        <v>0.35327957446808511</v>
      </c>
      <c r="M17" s="9">
        <f t="shared" si="4"/>
        <v>0.17191856970610944</v>
      </c>
      <c r="N17" s="9">
        <f t="shared" si="5"/>
        <v>0.23825624211792965</v>
      </c>
      <c r="O17" s="9">
        <f t="shared" si="6"/>
        <v>0.57741262118965508</v>
      </c>
    </row>
    <row r="18" spans="1:15" s="3" customFormat="1" x14ac:dyDescent="0.2">
      <c r="A18" s="385" t="s">
        <v>74</v>
      </c>
      <c r="B18" s="385"/>
      <c r="C18" s="8">
        <f>'Проект_Меню ХЭХ ЖКТ'!D268</f>
        <v>25.437999999999999</v>
      </c>
      <c r="D18" s="8">
        <f>'Проект_Меню ХЭХ ЖКТ'!E268</f>
        <v>21.103999999999999</v>
      </c>
      <c r="E18" s="8">
        <f>'Проект_Меню ХЭХ ЖКТ'!F268</f>
        <v>99.966000000000008</v>
      </c>
      <c r="F18" s="8">
        <f>'Проект_Меню ХЭХ ЖКТ'!G268</f>
        <v>690.11099999999999</v>
      </c>
      <c r="H18" s="9">
        <f t="shared" si="0"/>
        <v>0.33036363636363636</v>
      </c>
      <c r="I18" s="9">
        <f t="shared" si="1"/>
        <v>0.26713924050632909</v>
      </c>
      <c r="J18" s="9">
        <f t="shared" si="2"/>
        <v>0.29840597014925374</v>
      </c>
      <c r="K18" s="9">
        <f t="shared" si="3"/>
        <v>0.29366425531914891</v>
      </c>
      <c r="M18" s="9">
        <f t="shared" si="4"/>
        <v>0.14744294758379448</v>
      </c>
      <c r="N18" s="9">
        <f t="shared" si="5"/>
        <v>0.27522528984467715</v>
      </c>
      <c r="O18" s="9">
        <f t="shared" si="6"/>
        <v>0.57941983246173445</v>
      </c>
    </row>
    <row r="19" spans="1:15" s="3" customFormat="1" x14ac:dyDescent="0.2">
      <c r="A19" s="385" t="s">
        <v>75</v>
      </c>
      <c r="B19" s="385"/>
      <c r="C19" s="10">
        <f>AVERAGE(C9:C18)</f>
        <v>25.258099999999995</v>
      </c>
      <c r="D19" s="10">
        <f>AVERAGE(D9:D18)</f>
        <v>20.256099999999996</v>
      </c>
      <c r="E19" s="10">
        <f>AVERAGE(E9:E18)</f>
        <v>86.198099999999997</v>
      </c>
      <c r="F19" s="10">
        <f>AVERAGE(F9:F18)</f>
        <v>631.35479999999995</v>
      </c>
      <c r="H19" s="17">
        <f t="shared" si="0"/>
        <v>0.32802727272727267</v>
      </c>
      <c r="I19" s="17">
        <f t="shared" si="1"/>
        <v>0.25640632911392403</v>
      </c>
      <c r="J19" s="17">
        <f t="shared" si="2"/>
        <v>0.25730776119402982</v>
      </c>
      <c r="K19" s="17">
        <f t="shared" si="3"/>
        <v>0.26866161702127656</v>
      </c>
      <c r="L19" s="11"/>
      <c r="M19" s="9">
        <f>AVERAGE(M9:M18)</f>
        <v>0.16168135984772591</v>
      </c>
      <c r="N19" s="9">
        <f>AVERAGE(N9:N18)</f>
        <v>0.29003804873358635</v>
      </c>
      <c r="O19" s="9">
        <f>AVERAGE(O9:O18)</f>
        <v>0.54304078338246631</v>
      </c>
    </row>
    <row r="20" spans="1:15" s="3" customFormat="1" x14ac:dyDescent="0.2"/>
    <row r="21" spans="1:15" s="3" customFormat="1" x14ac:dyDescent="0.2">
      <c r="A21" s="378" t="s">
        <v>20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</row>
    <row r="22" spans="1:15" s="3" customFormat="1" x14ac:dyDescent="0.2">
      <c r="A22" s="379" t="s">
        <v>1</v>
      </c>
      <c r="B22" s="379"/>
      <c r="C22" s="381" t="s">
        <v>3</v>
      </c>
      <c r="D22" s="381"/>
      <c r="E22" s="381"/>
      <c r="F22" s="379" t="s">
        <v>4</v>
      </c>
      <c r="H22" s="382" t="s">
        <v>62</v>
      </c>
      <c r="I22" s="383"/>
      <c r="J22" s="383"/>
      <c r="K22" s="384"/>
      <c r="M22" s="382" t="s">
        <v>63</v>
      </c>
      <c r="N22" s="383"/>
      <c r="O22" s="383"/>
    </row>
    <row r="23" spans="1:15" s="3" customFormat="1" x14ac:dyDescent="0.2">
      <c r="A23" s="380"/>
      <c r="B23" s="380"/>
      <c r="C23" s="6" t="s">
        <v>7</v>
      </c>
      <c r="D23" s="6" t="s">
        <v>8</v>
      </c>
      <c r="E23" s="6" t="s">
        <v>9</v>
      </c>
      <c r="F23" s="380"/>
      <c r="H23" s="7" t="str">
        <f>C23</f>
        <v>Б</v>
      </c>
      <c r="I23" s="7" t="str">
        <f>D23</f>
        <v>Ж</v>
      </c>
      <c r="J23" s="7" t="str">
        <f>E23</f>
        <v>У</v>
      </c>
      <c r="K23" s="7" t="s">
        <v>64</v>
      </c>
      <c r="M23" s="7" t="str">
        <f>H23</f>
        <v>Б</v>
      </c>
      <c r="N23" s="7" t="str">
        <f>I23</f>
        <v>Ж</v>
      </c>
      <c r="O23" s="7" t="str">
        <f>J23</f>
        <v>У</v>
      </c>
    </row>
    <row r="24" spans="1:15" s="3" customFormat="1" x14ac:dyDescent="0.2">
      <c r="A24" s="385" t="s">
        <v>65</v>
      </c>
      <c r="B24" s="385"/>
      <c r="C24" s="12">
        <f>'Проект_Меню ХЭХ ЖКТ'!D17</f>
        <v>22.497</v>
      </c>
      <c r="D24" s="12">
        <f>'Проект_Меню ХЭХ ЖКТ'!E17</f>
        <v>15.412000000000001</v>
      </c>
      <c r="E24" s="12">
        <f>'Проект_Меню ХЭХ ЖКТ'!F17</f>
        <v>31.73</v>
      </c>
      <c r="F24" s="12">
        <f>'Проект_Меню ХЭХ ЖКТ'!G17</f>
        <v>362.34199999999998</v>
      </c>
      <c r="H24" s="9">
        <f>C24/$C$5</f>
        <v>0.29216883116883119</v>
      </c>
      <c r="I24" s="9">
        <f>D24/$D$5</f>
        <v>0.19508860759493671</v>
      </c>
      <c r="J24" s="9">
        <f>E24/$E$5</f>
        <v>9.4716417910447756E-2</v>
      </c>
      <c r="K24" s="9">
        <f>F24/$F$5</f>
        <v>0.15418808510638296</v>
      </c>
      <c r="M24" s="9">
        <f>4*C24/F24</f>
        <v>0.24835100540373461</v>
      </c>
      <c r="N24" s="9">
        <f>9*D24/F24</f>
        <v>0.38280961080967707</v>
      </c>
      <c r="O24" s="9">
        <f>4*E24/F24</f>
        <v>0.35027681030628527</v>
      </c>
    </row>
    <row r="25" spans="1:15" s="3" customFormat="1" x14ac:dyDescent="0.2">
      <c r="A25" s="385" t="s">
        <v>66</v>
      </c>
      <c r="B25" s="385"/>
      <c r="C25" s="12">
        <f>'Проект_Меню ХЭХ ЖКТ'!D44</f>
        <v>3.835</v>
      </c>
      <c r="D25" s="12">
        <f>'Проект_Меню ХЭХ ЖКТ'!E44</f>
        <v>3.585</v>
      </c>
      <c r="E25" s="12">
        <f>'Проект_Меню ХЭХ ЖКТ'!F44</f>
        <v>37.744</v>
      </c>
      <c r="F25" s="12">
        <f>'Проект_Меню ХЭХ ЖКТ'!G44</f>
        <v>201.70599999999999</v>
      </c>
      <c r="H25" s="9">
        <f t="shared" ref="H25:H33" si="7">C25/$C$5</f>
        <v>4.9805194805194804E-2</v>
      </c>
      <c r="I25" s="9">
        <f t="shared" ref="I25:I33" si="8">D25/$D$5</f>
        <v>4.537974683544304E-2</v>
      </c>
      <c r="J25" s="9">
        <f t="shared" ref="J25:J33" si="9">E25/$E$5</f>
        <v>0.1126686567164179</v>
      </c>
      <c r="K25" s="9">
        <f t="shared" ref="K25:K33" si="10">F25/$F$5</f>
        <v>8.5832340425531908E-2</v>
      </c>
      <c r="M25" s="9">
        <f t="shared" ref="M25:M33" si="11">4*C25/F25</f>
        <v>7.6051282559765204E-2</v>
      </c>
      <c r="N25" s="9">
        <f t="shared" ref="N25:N33" si="12">9*D25/F25</f>
        <v>0.15996053662260915</v>
      </c>
      <c r="O25" s="9">
        <f t="shared" ref="O25:O33" si="13">4*E25/F25</f>
        <v>0.74849533479420549</v>
      </c>
    </row>
    <row r="26" spans="1:15" s="3" customFormat="1" x14ac:dyDescent="0.2">
      <c r="A26" s="385" t="s">
        <v>67</v>
      </c>
      <c r="B26" s="385"/>
      <c r="C26" s="12">
        <f>'Проект_Меню ХЭХ ЖКТ'!D73</f>
        <v>4.5570000000000004</v>
      </c>
      <c r="D26" s="12">
        <f>'Проект_Меню ХЭХ ЖКТ'!E73</f>
        <v>3.3769999999999998</v>
      </c>
      <c r="E26" s="12">
        <f>'Проект_Меню ХЭХ ЖКТ'!F73</f>
        <v>38.256</v>
      </c>
      <c r="F26" s="12">
        <f>'Проект_Меню ХЭХ ЖКТ'!G73</f>
        <v>204.77</v>
      </c>
      <c r="H26" s="9">
        <f t="shared" si="7"/>
        <v>5.918181818181819E-2</v>
      </c>
      <c r="I26" s="9">
        <f t="shared" si="8"/>
        <v>4.2746835443037971E-2</v>
      </c>
      <c r="J26" s="9">
        <f t="shared" si="9"/>
        <v>0.11419701492537314</v>
      </c>
      <c r="K26" s="9">
        <f t="shared" si="10"/>
        <v>8.7136170212765957E-2</v>
      </c>
      <c r="M26" s="9">
        <f t="shared" si="11"/>
        <v>8.9016945841676035E-2</v>
      </c>
      <c r="N26" s="9">
        <f t="shared" si="12"/>
        <v>0.1484250622649802</v>
      </c>
      <c r="O26" s="9">
        <f t="shared" si="13"/>
        <v>0.74729696732919859</v>
      </c>
    </row>
    <row r="27" spans="1:15" s="3" customFormat="1" x14ac:dyDescent="0.2">
      <c r="A27" s="386" t="s">
        <v>68</v>
      </c>
      <c r="B27" s="386"/>
      <c r="C27" s="12">
        <f>'Проект_Меню ХЭХ ЖКТ'!D101</f>
        <v>9.5890000000000004</v>
      </c>
      <c r="D27" s="12">
        <f>'Проект_Меню ХЭХ ЖКТ'!E101</f>
        <v>5.4909999999999997</v>
      </c>
      <c r="E27" s="12">
        <f>'Проект_Меню ХЭХ ЖКТ'!F101</f>
        <v>27.021999999999998</v>
      </c>
      <c r="F27" s="12">
        <f>'Проект_Меню ХЭХ ЖКТ'!G101</f>
        <v>198.988</v>
      </c>
      <c r="H27" s="9">
        <f t="shared" si="7"/>
        <v>0.12453246753246754</v>
      </c>
      <c r="I27" s="9">
        <f t="shared" si="8"/>
        <v>6.9506329113924042E-2</v>
      </c>
      <c r="J27" s="9">
        <f t="shared" si="9"/>
        <v>8.0662686567164174E-2</v>
      </c>
      <c r="K27" s="9">
        <f t="shared" si="10"/>
        <v>8.4675744680851067E-2</v>
      </c>
      <c r="M27" s="9">
        <f t="shared" si="11"/>
        <v>0.19275534203067524</v>
      </c>
      <c r="N27" s="9">
        <f t="shared" si="12"/>
        <v>0.24835165939654652</v>
      </c>
      <c r="O27" s="9">
        <f t="shared" si="13"/>
        <v>0.54318853398194866</v>
      </c>
    </row>
    <row r="28" spans="1:15" s="3" customFormat="1" x14ac:dyDescent="0.2">
      <c r="A28" s="385" t="s">
        <v>69</v>
      </c>
      <c r="B28" s="385"/>
      <c r="C28" s="12">
        <f>'Проект_Меню ХЭХ ЖКТ'!D129</f>
        <v>22.497</v>
      </c>
      <c r="D28" s="12">
        <f>'Проект_Меню ХЭХ ЖКТ'!E129</f>
        <v>15.412000000000001</v>
      </c>
      <c r="E28" s="12">
        <f>'Проект_Меню ХЭХ ЖКТ'!F129</f>
        <v>31.73</v>
      </c>
      <c r="F28" s="12">
        <f>'Проект_Меню ХЭХ ЖКТ'!G129</f>
        <v>362.34199999999998</v>
      </c>
      <c r="H28" s="9">
        <f t="shared" si="7"/>
        <v>0.29216883116883119</v>
      </c>
      <c r="I28" s="9">
        <f t="shared" si="8"/>
        <v>0.19508860759493671</v>
      </c>
      <c r="J28" s="9">
        <f t="shared" si="9"/>
        <v>9.4716417910447756E-2</v>
      </c>
      <c r="K28" s="9">
        <f t="shared" si="10"/>
        <v>0.15418808510638296</v>
      </c>
      <c r="M28" s="9">
        <f t="shared" si="11"/>
        <v>0.24835100540373461</v>
      </c>
      <c r="N28" s="9">
        <f t="shared" si="12"/>
        <v>0.38280961080967707</v>
      </c>
      <c r="O28" s="9">
        <f t="shared" si="13"/>
        <v>0.35027681030628527</v>
      </c>
    </row>
    <row r="29" spans="1:15" s="3" customFormat="1" x14ac:dyDescent="0.2">
      <c r="A29" s="385" t="s">
        <v>70</v>
      </c>
      <c r="B29" s="385"/>
      <c r="C29" s="12">
        <f>'Проект_Меню ХЭХ ЖКТ'!D157</f>
        <v>4.5570000000000004</v>
      </c>
      <c r="D29" s="12">
        <f>'Проект_Меню ХЭХ ЖКТ'!E157</f>
        <v>3.3769999999999998</v>
      </c>
      <c r="E29" s="12">
        <f>'Проект_Меню ХЭХ ЖКТ'!F157</f>
        <v>38.256</v>
      </c>
      <c r="F29" s="12">
        <f>'Проект_Меню ХЭХ ЖКТ'!G157</f>
        <v>204.77</v>
      </c>
      <c r="H29" s="9">
        <f t="shared" si="7"/>
        <v>5.918181818181819E-2</v>
      </c>
      <c r="I29" s="9">
        <f t="shared" si="8"/>
        <v>4.2746835443037971E-2</v>
      </c>
      <c r="J29" s="9">
        <f t="shared" si="9"/>
        <v>0.11419701492537314</v>
      </c>
      <c r="K29" s="9">
        <f t="shared" si="10"/>
        <v>8.7136170212765957E-2</v>
      </c>
      <c r="M29" s="9">
        <f t="shared" si="11"/>
        <v>8.9016945841676035E-2</v>
      </c>
      <c r="N29" s="9">
        <f t="shared" si="12"/>
        <v>0.1484250622649802</v>
      </c>
      <c r="O29" s="9">
        <f t="shared" si="13"/>
        <v>0.74729696732919859</v>
      </c>
    </row>
    <row r="30" spans="1:15" s="3" customFormat="1" x14ac:dyDescent="0.2">
      <c r="A30" s="385" t="s">
        <v>71</v>
      </c>
      <c r="B30" s="385"/>
      <c r="C30" s="12">
        <f>'Проект_Меню ХЭХ ЖКТ'!D186</f>
        <v>24.454999999999998</v>
      </c>
      <c r="D30" s="12">
        <f>'Проект_Меню ХЭХ ЖКТ'!E186</f>
        <v>15.381</v>
      </c>
      <c r="E30" s="12">
        <f>'Проект_Меню ХЭХ ЖКТ'!F186</f>
        <v>32.58</v>
      </c>
      <c r="F30" s="12">
        <f>'Проект_Меню ХЭХ ЖКТ'!G186</f>
        <v>374.02800000000002</v>
      </c>
      <c r="H30" s="9">
        <f t="shared" si="7"/>
        <v>0.3175974025974026</v>
      </c>
      <c r="I30" s="9">
        <f t="shared" si="8"/>
        <v>0.19469620253164557</v>
      </c>
      <c r="J30" s="9">
        <f t="shared" si="9"/>
        <v>9.7253731343283578E-2</v>
      </c>
      <c r="K30" s="9">
        <f t="shared" si="10"/>
        <v>0.15916085106382979</v>
      </c>
      <c r="M30" s="9">
        <f t="shared" si="11"/>
        <v>0.26153122226143494</v>
      </c>
      <c r="N30" s="9">
        <f t="shared" si="12"/>
        <v>0.37010330777374956</v>
      </c>
      <c r="O30" s="9">
        <f t="shared" si="13"/>
        <v>0.34842311270813947</v>
      </c>
    </row>
    <row r="31" spans="1:15" s="3" customFormat="1" x14ac:dyDescent="0.2">
      <c r="A31" s="385" t="s">
        <v>72</v>
      </c>
      <c r="B31" s="385"/>
      <c r="C31" s="12">
        <f>'Проект_Меню ХЭХ ЖКТ'!D215</f>
        <v>9.5890000000000004</v>
      </c>
      <c r="D31" s="12">
        <f>'Проект_Меню ХЭХ ЖКТ'!E215</f>
        <v>5.4909999999999997</v>
      </c>
      <c r="E31" s="12">
        <f>'Проект_Меню ХЭХ ЖКТ'!F215</f>
        <v>27.021999999999998</v>
      </c>
      <c r="F31" s="12">
        <f>'Проект_Меню ХЭХ ЖКТ'!G215</f>
        <v>198.988</v>
      </c>
      <c r="H31" s="9">
        <f t="shared" si="7"/>
        <v>0.12453246753246754</v>
      </c>
      <c r="I31" s="9">
        <f t="shared" si="8"/>
        <v>6.9506329113924042E-2</v>
      </c>
      <c r="J31" s="9">
        <f t="shared" si="9"/>
        <v>8.0662686567164174E-2</v>
      </c>
      <c r="K31" s="9">
        <f t="shared" si="10"/>
        <v>8.4675744680851067E-2</v>
      </c>
      <c r="M31" s="9">
        <f t="shared" si="11"/>
        <v>0.19275534203067524</v>
      </c>
      <c r="N31" s="9">
        <f t="shared" si="12"/>
        <v>0.24835165939654652</v>
      </c>
      <c r="O31" s="9">
        <f t="shared" si="13"/>
        <v>0.54318853398194866</v>
      </c>
    </row>
    <row r="32" spans="1:15" s="3" customFormat="1" x14ac:dyDescent="0.2">
      <c r="A32" s="386" t="s">
        <v>73</v>
      </c>
      <c r="B32" s="386"/>
      <c r="C32" s="12">
        <f>'Проект_Меню ХЭХ ЖКТ'!D243</f>
        <v>22.497</v>
      </c>
      <c r="D32" s="12">
        <f>'Проект_Меню ХЭХ ЖКТ'!E243</f>
        <v>15.412000000000001</v>
      </c>
      <c r="E32" s="12">
        <f>'Проект_Меню ХЭХ ЖКТ'!F243</f>
        <v>31.73</v>
      </c>
      <c r="F32" s="12">
        <f>'Проект_Меню ХЭХ ЖКТ'!G243</f>
        <v>362.34199999999998</v>
      </c>
      <c r="H32" s="9">
        <f t="shared" si="7"/>
        <v>0.29216883116883119</v>
      </c>
      <c r="I32" s="9">
        <f t="shared" si="8"/>
        <v>0.19508860759493671</v>
      </c>
      <c r="J32" s="9">
        <f t="shared" si="9"/>
        <v>9.4716417910447756E-2</v>
      </c>
      <c r="K32" s="9">
        <f t="shared" si="10"/>
        <v>0.15418808510638296</v>
      </c>
      <c r="M32" s="9">
        <f t="shared" si="11"/>
        <v>0.24835100540373461</v>
      </c>
      <c r="N32" s="9">
        <f t="shared" si="12"/>
        <v>0.38280961080967707</v>
      </c>
      <c r="O32" s="9">
        <f t="shared" si="13"/>
        <v>0.35027681030628527</v>
      </c>
    </row>
    <row r="33" spans="1:15" s="3" customFormat="1" x14ac:dyDescent="0.2">
      <c r="A33" s="385" t="s">
        <v>74</v>
      </c>
      <c r="B33" s="385"/>
      <c r="C33" s="12">
        <f>'Проект_Меню ХЭХ ЖКТ'!D272</f>
        <v>7.0129999999999999</v>
      </c>
      <c r="D33" s="12">
        <f>'Проект_Меню ХЭХ ЖКТ'!E272</f>
        <v>3.1709999999999998</v>
      </c>
      <c r="E33" s="12">
        <f>'Проект_Меню ХЭХ ЖКТ'!F272</f>
        <v>23.236999999999998</v>
      </c>
      <c r="F33" s="12">
        <f>'Проект_Меню ХЭХ ЖКТ'!G272</f>
        <v>152.66399999999999</v>
      </c>
      <c r="H33" s="9">
        <f t="shared" si="7"/>
        <v>9.1077922077922077E-2</v>
      </c>
      <c r="I33" s="9">
        <f t="shared" si="8"/>
        <v>4.013924050632911E-2</v>
      </c>
      <c r="J33" s="9">
        <f t="shared" si="9"/>
        <v>6.9364179104477605E-2</v>
      </c>
      <c r="K33" s="9">
        <f t="shared" si="10"/>
        <v>6.4963404255319143E-2</v>
      </c>
      <c r="M33" s="9">
        <f t="shared" si="11"/>
        <v>0.18374993449667246</v>
      </c>
      <c r="N33" s="9">
        <f t="shared" si="12"/>
        <v>0.1869399465492847</v>
      </c>
      <c r="O33" s="9">
        <f t="shared" si="13"/>
        <v>0.60884032908871777</v>
      </c>
    </row>
    <row r="34" spans="1:15" s="3" customFormat="1" x14ac:dyDescent="0.2">
      <c r="A34" s="385" t="s">
        <v>75</v>
      </c>
      <c r="B34" s="385"/>
      <c r="C34" s="13">
        <f>AVERAGE(C24:C33)</f>
        <v>13.108599999999999</v>
      </c>
      <c r="D34" s="13">
        <f>AVERAGE(D24:D33)</f>
        <v>8.6109000000000027</v>
      </c>
      <c r="E34" s="13">
        <f>AVERAGE(E24:E33)</f>
        <v>31.930700000000002</v>
      </c>
      <c r="F34" s="13">
        <f>AVERAGE(F24:F33)</f>
        <v>262.29400000000004</v>
      </c>
      <c r="H34" s="17">
        <f>AVERAGE(H24:H33)</f>
        <v>0.17024155844155844</v>
      </c>
      <c r="I34" s="17">
        <f>AVERAGE(I24:I33)</f>
        <v>0.10899873417721517</v>
      </c>
      <c r="J34" s="17">
        <f>AVERAGE(J24:J33)</f>
        <v>9.5315522388059681E-2</v>
      </c>
      <c r="K34" s="17">
        <f>AVERAGE(K24:K33)</f>
        <v>0.11161446808510637</v>
      </c>
      <c r="L34" s="11"/>
      <c r="M34" s="9">
        <f>AVERAGE(M24:M33)</f>
        <v>0.18299300312737787</v>
      </c>
      <c r="N34" s="9">
        <f>AVERAGE(N24:N33)</f>
        <v>0.26589860666977277</v>
      </c>
      <c r="O34" s="9">
        <f>AVERAGE(O24:O33)</f>
        <v>0.53375602101322139</v>
      </c>
    </row>
    <row r="35" spans="1:15" s="3" customFormat="1" x14ac:dyDescent="0.2"/>
    <row r="36" spans="1:15" s="3" customFormat="1" ht="12.75" customHeight="1" x14ac:dyDescent="0.2">
      <c r="A36" s="378" t="s">
        <v>76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</row>
    <row r="37" spans="1:15" s="3" customFormat="1" ht="12.75" customHeight="1" x14ac:dyDescent="0.2">
      <c r="A37" s="379" t="s">
        <v>1</v>
      </c>
      <c r="B37" s="379"/>
      <c r="C37" s="381" t="s">
        <v>3</v>
      </c>
      <c r="D37" s="381"/>
      <c r="E37" s="381"/>
      <c r="F37" s="379" t="s">
        <v>4</v>
      </c>
      <c r="H37" s="382" t="s">
        <v>62</v>
      </c>
      <c r="I37" s="383"/>
      <c r="J37" s="383"/>
      <c r="K37" s="384"/>
      <c r="M37" s="382" t="s">
        <v>63</v>
      </c>
      <c r="N37" s="383"/>
      <c r="O37" s="383"/>
    </row>
    <row r="38" spans="1:15" s="3" customFormat="1" ht="21" customHeight="1" x14ac:dyDescent="0.2">
      <c r="A38" s="380"/>
      <c r="B38" s="380"/>
      <c r="C38" s="6" t="s">
        <v>7</v>
      </c>
      <c r="D38" s="6" t="s">
        <v>8</v>
      </c>
      <c r="E38" s="6" t="s">
        <v>9</v>
      </c>
      <c r="F38" s="380"/>
      <c r="H38" s="7" t="str">
        <f>C38</f>
        <v>Б</v>
      </c>
      <c r="I38" s="7" t="str">
        <f>D38</f>
        <v>Ж</v>
      </c>
      <c r="J38" s="7" t="str">
        <f>E38</f>
        <v>У</v>
      </c>
      <c r="K38" s="7" t="s">
        <v>64</v>
      </c>
      <c r="M38" s="7" t="str">
        <f>H38</f>
        <v>Б</v>
      </c>
      <c r="N38" s="7" t="str">
        <f>I38</f>
        <v>Ж</v>
      </c>
      <c r="O38" s="7" t="str">
        <f>J38</f>
        <v>У</v>
      </c>
    </row>
    <row r="39" spans="1:15" s="3" customFormat="1" x14ac:dyDescent="0.2">
      <c r="A39" s="385" t="s">
        <v>65</v>
      </c>
      <c r="B39" s="385"/>
      <c r="C39" s="14">
        <f>'Проект_Меню ХЭХ ЖКТ'!D25</f>
        <v>29.475999999999999</v>
      </c>
      <c r="D39" s="14">
        <f>'Проект_Меню ХЭХ ЖКТ'!E25</f>
        <v>22.652999999999999</v>
      </c>
      <c r="E39" s="14">
        <f>'Проект_Меню ХЭХ ЖКТ'!F25</f>
        <v>110.527</v>
      </c>
      <c r="F39" s="14">
        <f>'Проект_Меню ХЭХ ЖКТ'!G25</f>
        <v>768.01300000000003</v>
      </c>
      <c r="H39" s="9">
        <f>C39/$C$5</f>
        <v>0.38280519480519482</v>
      </c>
      <c r="I39" s="9">
        <f>D39/$D$5</f>
        <v>0.28674683544303797</v>
      </c>
      <c r="J39" s="9">
        <f>E39/$E$5</f>
        <v>0.32993134328358209</v>
      </c>
      <c r="K39" s="9">
        <f>F39/$F$5</f>
        <v>0.32681404255319152</v>
      </c>
      <c r="M39" s="9">
        <f>4*C39/F39</f>
        <v>0.15351823471738107</v>
      </c>
      <c r="N39" s="9">
        <f>9*D39/F39</f>
        <v>0.26546035028052906</v>
      </c>
      <c r="O39" s="9">
        <f>4*E39/F39</f>
        <v>0.57565171422879557</v>
      </c>
    </row>
    <row r="40" spans="1:15" s="3" customFormat="1" x14ac:dyDescent="0.2">
      <c r="A40" s="385" t="s">
        <v>66</v>
      </c>
      <c r="B40" s="385"/>
      <c r="C40" s="14">
        <f>'Проект_Меню ХЭХ ЖКТ'!D52</f>
        <v>34.737000000000002</v>
      </c>
      <c r="D40" s="14">
        <f>'Проект_Меню ХЭХ ЖКТ'!E52</f>
        <v>16.504000000000001</v>
      </c>
      <c r="E40" s="14">
        <f>'Проект_Меню ХЭХ ЖКТ'!F52</f>
        <v>91.054000000000002</v>
      </c>
      <c r="F40" s="14">
        <f>'Проект_Меню ХЭХ ЖКТ'!G52</f>
        <v>653.91</v>
      </c>
      <c r="H40" s="9">
        <f t="shared" ref="H40:H48" si="14">C40/$C$5</f>
        <v>0.45112987012987016</v>
      </c>
      <c r="I40" s="9">
        <f t="shared" ref="I40:I48" si="15">D40/$D$5</f>
        <v>0.20891139240506332</v>
      </c>
      <c r="J40" s="9">
        <f t="shared" ref="J40:J48" si="16">E40/$E$5</f>
        <v>0.27180298507462686</v>
      </c>
      <c r="K40" s="9">
        <f t="shared" ref="K40:K48" si="17">F40/$F$5</f>
        <v>0.27825957446808508</v>
      </c>
      <c r="M40" s="9">
        <f t="shared" ref="M40:M48" si="18">4*C40/F40</f>
        <v>0.21248795705831081</v>
      </c>
      <c r="N40" s="9">
        <f t="shared" ref="N40:N48" si="19">9*D40/F40</f>
        <v>0.22715052530164703</v>
      </c>
      <c r="O40" s="9">
        <f t="shared" ref="O40:O48" si="20">4*E40/F40</f>
        <v>0.55698184765487613</v>
      </c>
    </row>
    <row r="41" spans="1:15" s="3" customFormat="1" x14ac:dyDescent="0.2">
      <c r="A41" s="385" t="s">
        <v>67</v>
      </c>
      <c r="B41" s="385"/>
      <c r="C41" s="14">
        <f>'Проект_Меню ХЭХ ЖКТ'!D81</f>
        <v>37.569000000000003</v>
      </c>
      <c r="D41" s="14">
        <f>'Проект_Меню ХЭХ ЖКТ'!E81</f>
        <v>25.272000000000002</v>
      </c>
      <c r="E41" s="14">
        <f>'Проект_Меню ХЭХ ЖКТ'!F81</f>
        <v>108.622</v>
      </c>
      <c r="F41" s="14">
        <f>'Проект_Меню ХЭХ ЖКТ'!G81</f>
        <v>816.84100000000001</v>
      </c>
      <c r="H41" s="9">
        <f t="shared" si="14"/>
        <v>0.48790909090909096</v>
      </c>
      <c r="I41" s="9">
        <f t="shared" si="15"/>
        <v>0.3198987341772152</v>
      </c>
      <c r="J41" s="9">
        <f t="shared" si="16"/>
        <v>0.324244776119403</v>
      </c>
      <c r="K41" s="9">
        <f t="shared" si="17"/>
        <v>0.34759191489361702</v>
      </c>
      <c r="M41" s="9">
        <f t="shared" si="18"/>
        <v>0.1839721561478917</v>
      </c>
      <c r="N41" s="9">
        <f t="shared" si="19"/>
        <v>0.27844831491073541</v>
      </c>
      <c r="O41" s="9">
        <f t="shared" si="20"/>
        <v>0.5319125753971703</v>
      </c>
    </row>
    <row r="42" spans="1:15" s="3" customFormat="1" x14ac:dyDescent="0.2">
      <c r="A42" s="386" t="s">
        <v>68</v>
      </c>
      <c r="B42" s="386"/>
      <c r="C42" s="14">
        <f>'Проект_Меню ХЭХ ЖКТ'!D110</f>
        <v>36.162999999999997</v>
      </c>
      <c r="D42" s="14">
        <f>'Проект_Меню ХЭХ ЖКТ'!E110</f>
        <v>22.387</v>
      </c>
      <c r="E42" s="14">
        <f>'Проект_Меню ХЭХ ЖКТ'!F110</f>
        <v>90.93</v>
      </c>
      <c r="F42" s="14">
        <f>'Проект_Меню ХЭХ ЖКТ'!G110</f>
        <v>716.85</v>
      </c>
      <c r="H42" s="9">
        <f t="shared" si="14"/>
        <v>0.46964935064935059</v>
      </c>
      <c r="I42" s="9">
        <f t="shared" si="15"/>
        <v>0.28337974683544304</v>
      </c>
      <c r="J42" s="9">
        <f t="shared" si="16"/>
        <v>0.27143283582089556</v>
      </c>
      <c r="K42" s="9">
        <f t="shared" si="17"/>
        <v>0.30504255319148937</v>
      </c>
      <c r="M42" s="9">
        <f t="shared" si="18"/>
        <v>0.2017883797168166</v>
      </c>
      <c r="N42" s="9">
        <f t="shared" si="19"/>
        <v>0.28106716886377903</v>
      </c>
      <c r="O42" s="9">
        <f t="shared" si="20"/>
        <v>0.50738648252772545</v>
      </c>
    </row>
    <row r="43" spans="1:15" s="3" customFormat="1" x14ac:dyDescent="0.2">
      <c r="A43" s="385" t="s">
        <v>69</v>
      </c>
      <c r="B43" s="385"/>
      <c r="C43" s="14">
        <f>'Проект_Меню ХЭХ ЖКТ'!D137</f>
        <v>27.450000000000003</v>
      </c>
      <c r="D43" s="14">
        <f>'Проект_Меню ХЭХ ЖКТ'!E137</f>
        <v>19.337999999999997</v>
      </c>
      <c r="E43" s="14">
        <f>'Проект_Меню ХЭХ ЖКТ'!F137</f>
        <v>130.43699999999998</v>
      </c>
      <c r="F43" s="14">
        <f>'Проект_Меню ХЭХ ЖКТ'!G137</f>
        <v>810.173</v>
      </c>
      <c r="H43" s="9">
        <f t="shared" si="14"/>
        <v>0.35649350649350653</v>
      </c>
      <c r="I43" s="9">
        <f t="shared" si="15"/>
        <v>0.24478481012658224</v>
      </c>
      <c r="J43" s="9">
        <f t="shared" si="16"/>
        <v>0.38936417910447757</v>
      </c>
      <c r="K43" s="9">
        <f t="shared" si="17"/>
        <v>0.3447544680851064</v>
      </c>
      <c r="M43" s="9">
        <f t="shared" si="18"/>
        <v>0.13552660974878206</v>
      </c>
      <c r="N43" s="9">
        <f t="shared" si="19"/>
        <v>0.21482078519032352</v>
      </c>
      <c r="O43" s="9">
        <f t="shared" si="20"/>
        <v>0.64399578855380257</v>
      </c>
    </row>
    <row r="44" spans="1:15" s="3" customFormat="1" x14ac:dyDescent="0.2">
      <c r="A44" s="385" t="s">
        <v>70</v>
      </c>
      <c r="B44" s="385"/>
      <c r="C44" s="14">
        <f>'Проект_Меню ХЭХ ЖКТ'!D165</f>
        <v>28.521000000000001</v>
      </c>
      <c r="D44" s="14">
        <f>'Проект_Меню ХЭХ ЖКТ'!E165</f>
        <v>27.972999999999999</v>
      </c>
      <c r="E44" s="14">
        <f>'Проект_Меню ХЭХ ЖКТ'!F165</f>
        <v>77.477999999999994</v>
      </c>
      <c r="F44" s="14">
        <f>'Проект_Меню ХЭХ ЖКТ'!G165</f>
        <v>680.90200000000004</v>
      </c>
      <c r="H44" s="9">
        <f t="shared" si="14"/>
        <v>0.3704025974025974</v>
      </c>
      <c r="I44" s="9">
        <f t="shared" si="15"/>
        <v>0.35408860759493671</v>
      </c>
      <c r="J44" s="9">
        <f t="shared" si="16"/>
        <v>0.2312776119402985</v>
      </c>
      <c r="K44" s="9">
        <f t="shared" si="17"/>
        <v>0.28974553191489366</v>
      </c>
      <c r="M44" s="9">
        <f t="shared" si="18"/>
        <v>0.16754834028979207</v>
      </c>
      <c r="N44" s="9">
        <f t="shared" si="19"/>
        <v>0.36974043254389027</v>
      </c>
      <c r="O44" s="9">
        <f t="shared" si="20"/>
        <v>0.45514919915053847</v>
      </c>
    </row>
    <row r="45" spans="1:15" s="3" customFormat="1" x14ac:dyDescent="0.2">
      <c r="A45" s="385" t="s">
        <v>71</v>
      </c>
      <c r="B45" s="385"/>
      <c r="C45" s="14">
        <f>'Проект_Меню ХЭХ ЖКТ'!D194</f>
        <v>30.753</v>
      </c>
      <c r="D45" s="14">
        <f>'Проект_Меню ХЭХ ЖКТ'!E194</f>
        <v>25.587</v>
      </c>
      <c r="E45" s="14">
        <f>'Проект_Меню ХЭХ ЖКТ'!F194</f>
        <v>117.667</v>
      </c>
      <c r="F45" s="14">
        <f>'Проект_Меню ХЭХ ЖКТ'!G194</f>
        <v>827.26300000000003</v>
      </c>
      <c r="H45" s="9">
        <f t="shared" si="14"/>
        <v>0.39938961038961041</v>
      </c>
      <c r="I45" s="9">
        <f t="shared" si="15"/>
        <v>0.32388607594936708</v>
      </c>
      <c r="J45" s="9">
        <f t="shared" si="16"/>
        <v>0.35124477611940297</v>
      </c>
      <c r="K45" s="9">
        <f t="shared" si="17"/>
        <v>0.35202680851063833</v>
      </c>
      <c r="M45" s="9">
        <f t="shared" si="18"/>
        <v>0.14869757259783165</v>
      </c>
      <c r="N45" s="9">
        <f t="shared" si="19"/>
        <v>0.27836733904453598</v>
      </c>
      <c r="O45" s="9">
        <f t="shared" si="20"/>
        <v>0.56894603046431425</v>
      </c>
    </row>
    <row r="46" spans="1:15" s="3" customFormat="1" x14ac:dyDescent="0.2">
      <c r="A46" s="385" t="s">
        <v>72</v>
      </c>
      <c r="B46" s="385"/>
      <c r="C46" s="14">
        <f>'Проект_Меню ХЭХ ЖКТ'!D224</f>
        <v>24.137</v>
      </c>
      <c r="D46" s="14">
        <f>'Проект_Меню ХЭХ ЖКТ'!E224</f>
        <v>16.111000000000001</v>
      </c>
      <c r="E46" s="14">
        <f>'Проект_Меню ХЭХ ЖКТ'!F224</f>
        <v>119.102</v>
      </c>
      <c r="F46" s="14">
        <f>'Проект_Меню ХЭХ ЖКТ'!G224</f>
        <v>721.78399999999999</v>
      </c>
      <c r="H46" s="9">
        <f t="shared" si="14"/>
        <v>0.31346753246753245</v>
      </c>
      <c r="I46" s="9">
        <f t="shared" si="15"/>
        <v>0.20393670886075951</v>
      </c>
      <c r="J46" s="9">
        <f t="shared" si="16"/>
        <v>0.35552835820895523</v>
      </c>
      <c r="K46" s="9">
        <f t="shared" si="17"/>
        <v>0.30714212765957444</v>
      </c>
      <c r="M46" s="9">
        <f t="shared" si="18"/>
        <v>0.13376300943218469</v>
      </c>
      <c r="N46" s="9">
        <f t="shared" si="19"/>
        <v>0.20088973986677455</v>
      </c>
      <c r="O46" s="9">
        <f t="shared" si="20"/>
        <v>0.66004233953648184</v>
      </c>
    </row>
    <row r="47" spans="1:15" s="3" customFormat="1" x14ac:dyDescent="0.2">
      <c r="A47" s="386" t="s">
        <v>73</v>
      </c>
      <c r="B47" s="386"/>
      <c r="C47" s="14">
        <f>'Проект_Меню ХЭХ ЖКТ'!D251</f>
        <v>21.015999999999998</v>
      </c>
      <c r="D47" s="14">
        <f>'Проект_Меню ХЭХ ЖКТ'!E251</f>
        <v>21.175999999999998</v>
      </c>
      <c r="E47" s="14">
        <f>'Проект_Меню ХЭХ ЖКТ'!F251</f>
        <v>84.209000000000003</v>
      </c>
      <c r="F47" s="14">
        <f>'Проект_Меню ХЭХ ЖКТ'!G251</f>
        <v>609.80499999999995</v>
      </c>
      <c r="H47" s="9">
        <f t="shared" si="14"/>
        <v>0.27293506493506492</v>
      </c>
      <c r="I47" s="9">
        <f t="shared" si="15"/>
        <v>0.26805063291139236</v>
      </c>
      <c r="J47" s="9">
        <f t="shared" si="16"/>
        <v>0.25137014925373136</v>
      </c>
      <c r="K47" s="9">
        <f t="shared" si="17"/>
        <v>0.25949148936170213</v>
      </c>
      <c r="M47" s="9">
        <f t="shared" si="18"/>
        <v>0.13785390411688983</v>
      </c>
      <c r="N47" s="9">
        <f t="shared" si="19"/>
        <v>0.31253269487787078</v>
      </c>
      <c r="O47" s="9">
        <f t="shared" si="20"/>
        <v>0.55236674018743703</v>
      </c>
    </row>
    <row r="48" spans="1:15" s="3" customFormat="1" x14ac:dyDescent="0.2">
      <c r="A48" s="385" t="s">
        <v>74</v>
      </c>
      <c r="B48" s="385"/>
      <c r="C48" s="14">
        <f>'Проект_Меню ХЭХ ЖКТ'!D280</f>
        <v>33.249000000000002</v>
      </c>
      <c r="D48" s="14">
        <f>'Проект_Меню ХЭХ ЖКТ'!E280</f>
        <v>35.195999999999998</v>
      </c>
      <c r="E48" s="14">
        <f>'Проект_Меню ХЭХ ЖКТ'!F280</f>
        <v>122.861</v>
      </c>
      <c r="F48" s="14">
        <f>'Проект_Меню ХЭХ ЖКТ'!G280</f>
        <v>943.38</v>
      </c>
      <c r="H48" s="9">
        <f t="shared" si="14"/>
        <v>0.43180519480519486</v>
      </c>
      <c r="I48" s="9">
        <f t="shared" si="15"/>
        <v>0.44551898734177214</v>
      </c>
      <c r="J48" s="9">
        <f t="shared" si="16"/>
        <v>0.36674925373134332</v>
      </c>
      <c r="K48" s="9">
        <f t="shared" si="17"/>
        <v>0.40143829787234042</v>
      </c>
      <c r="M48" s="9">
        <f t="shared" si="18"/>
        <v>0.140978184824779</v>
      </c>
      <c r="N48" s="9">
        <f t="shared" si="19"/>
        <v>0.33577561534058387</v>
      </c>
      <c r="O48" s="9">
        <f t="shared" si="20"/>
        <v>0.52093960016112284</v>
      </c>
    </row>
    <row r="49" spans="1:15" s="3" customFormat="1" x14ac:dyDescent="0.2">
      <c r="A49" s="385" t="s">
        <v>75</v>
      </c>
      <c r="B49" s="385"/>
      <c r="C49" s="13">
        <f>AVERAGE(C39:C48)</f>
        <v>30.307100000000002</v>
      </c>
      <c r="D49" s="13">
        <f>AVERAGE(D39:D48)</f>
        <v>23.219699999999996</v>
      </c>
      <c r="E49" s="13">
        <f>AVERAGE(E39:E48)</f>
        <v>105.28870000000002</v>
      </c>
      <c r="F49" s="10">
        <f>AVERAGE(F39:F48)</f>
        <v>754.89210000000003</v>
      </c>
      <c r="H49" s="17">
        <f>AVERAGE(H39:H48)</f>
        <v>0.39359870129870134</v>
      </c>
      <c r="I49" s="17">
        <f>AVERAGE(I39:I48)</f>
        <v>0.29392025316455694</v>
      </c>
      <c r="J49" s="17">
        <f>AVERAGE(J39:J48)</f>
        <v>0.31429462686567167</v>
      </c>
      <c r="K49" s="17">
        <f>AVERAGE(K39:K48)</f>
        <v>0.32123068085106377</v>
      </c>
      <c r="L49" s="11"/>
      <c r="M49" s="9">
        <f>AVERAGE(M39:M48)</f>
        <v>0.16161343486506596</v>
      </c>
      <c r="N49" s="9">
        <f>AVERAGE(N39:N48)</f>
        <v>0.27642529662206694</v>
      </c>
      <c r="O49" s="9">
        <f>AVERAGE(O39:O48)</f>
        <v>0.55733723178622641</v>
      </c>
    </row>
    <row r="50" spans="1:15" s="3" customFormat="1" x14ac:dyDescent="0.2"/>
    <row r="51" spans="1:15" s="3" customFormat="1" ht="12.75" customHeight="1" x14ac:dyDescent="0.2">
      <c r="A51" s="378" t="s">
        <v>77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</row>
    <row r="52" spans="1:15" s="3" customFormat="1" ht="12.75" customHeight="1" x14ac:dyDescent="0.2">
      <c r="A52" s="379" t="s">
        <v>1</v>
      </c>
      <c r="B52" s="379"/>
      <c r="C52" s="381" t="s">
        <v>3</v>
      </c>
      <c r="D52" s="381"/>
      <c r="E52" s="381"/>
      <c r="F52" s="379" t="s">
        <v>4</v>
      </c>
      <c r="H52" s="382" t="s">
        <v>62</v>
      </c>
      <c r="I52" s="383"/>
      <c r="J52" s="383"/>
      <c r="K52" s="384"/>
      <c r="M52" s="382" t="s">
        <v>63</v>
      </c>
      <c r="N52" s="383"/>
      <c r="O52" s="383"/>
    </row>
    <row r="53" spans="1:15" s="3" customFormat="1" ht="23.25" customHeight="1" x14ac:dyDescent="0.2">
      <c r="A53" s="380"/>
      <c r="B53" s="380"/>
      <c r="C53" s="6" t="s">
        <v>7</v>
      </c>
      <c r="D53" s="6" t="s">
        <v>8</v>
      </c>
      <c r="E53" s="6" t="s">
        <v>9</v>
      </c>
      <c r="F53" s="380"/>
      <c r="H53" s="7" t="str">
        <f>C53</f>
        <v>Б</v>
      </c>
      <c r="I53" s="7" t="str">
        <f>D53</f>
        <v>Ж</v>
      </c>
      <c r="J53" s="7" t="str">
        <f>E53</f>
        <v>У</v>
      </c>
      <c r="K53" s="7" t="s">
        <v>64</v>
      </c>
      <c r="M53" s="7" t="str">
        <f>H53</f>
        <v>Б</v>
      </c>
      <c r="N53" s="7" t="str">
        <f>I53</f>
        <v>Ж</v>
      </c>
      <c r="O53" s="7" t="str">
        <f>J53</f>
        <v>У</v>
      </c>
    </row>
    <row r="54" spans="1:15" s="3" customFormat="1" x14ac:dyDescent="0.2">
      <c r="A54" s="385" t="s">
        <v>65</v>
      </c>
      <c r="B54" s="385"/>
      <c r="C54" s="15">
        <f>'Проект_Меню ХЭХ ЖКТ'!D29</f>
        <v>22.497</v>
      </c>
      <c r="D54" s="15">
        <f>'Проект_Меню ХЭХ ЖКТ'!E29</f>
        <v>15.412000000000001</v>
      </c>
      <c r="E54" s="15">
        <f>'Проект_Меню ХЭХ ЖКТ'!F29</f>
        <v>31.73</v>
      </c>
      <c r="F54" s="15">
        <f>'Проект_Меню ХЭХ ЖКТ'!G29</f>
        <v>362.34199999999998</v>
      </c>
      <c r="H54" s="9">
        <f>C54/$C$5</f>
        <v>0.29216883116883119</v>
      </c>
      <c r="I54" s="9">
        <f>D54/$D$5</f>
        <v>0.19508860759493671</v>
      </c>
      <c r="J54" s="9">
        <f>E54/$E$5</f>
        <v>9.4716417910447756E-2</v>
      </c>
      <c r="K54" s="9">
        <f>F54/$F$5</f>
        <v>0.15418808510638296</v>
      </c>
      <c r="M54" s="9">
        <f>4*C54/F54</f>
        <v>0.24835100540373461</v>
      </c>
      <c r="N54" s="9">
        <f>9*D54/F54</f>
        <v>0.38280961080967707</v>
      </c>
      <c r="O54" s="9">
        <f>4*E54/F54</f>
        <v>0.35027681030628527</v>
      </c>
    </row>
    <row r="55" spans="1:15" s="3" customFormat="1" x14ac:dyDescent="0.2">
      <c r="A55" s="385" t="s">
        <v>66</v>
      </c>
      <c r="B55" s="385"/>
      <c r="C55" s="15">
        <f>'Проект_Меню ХЭХ ЖКТ'!D56</f>
        <v>3.835</v>
      </c>
      <c r="D55" s="15">
        <f>'Проект_Меню ХЭХ ЖКТ'!E56</f>
        <v>3.585</v>
      </c>
      <c r="E55" s="15">
        <f>'Проект_Меню ХЭХ ЖКТ'!F56</f>
        <v>37.744</v>
      </c>
      <c r="F55" s="15">
        <f>'Проект_Меню ХЭХ ЖКТ'!G56</f>
        <v>201.70599999999999</v>
      </c>
      <c r="H55" s="9">
        <f t="shared" ref="H55:H63" si="21">C55/$C$5</f>
        <v>4.9805194805194804E-2</v>
      </c>
      <c r="I55" s="9">
        <f t="shared" ref="I55:I63" si="22">D55/$D$5</f>
        <v>4.537974683544304E-2</v>
      </c>
      <c r="J55" s="9">
        <f t="shared" ref="J55:J63" si="23">E55/$E$5</f>
        <v>0.1126686567164179</v>
      </c>
      <c r="K55" s="9">
        <f t="shared" ref="K55:K63" si="24">F55/$F$5</f>
        <v>8.5832340425531908E-2</v>
      </c>
      <c r="M55" s="9">
        <f t="shared" ref="M55:M63" si="25">4*C55/F55</f>
        <v>7.6051282559765204E-2</v>
      </c>
      <c r="N55" s="9">
        <f t="shared" ref="N55:N63" si="26">9*D55/F55</f>
        <v>0.15996053662260915</v>
      </c>
      <c r="O55" s="9">
        <f t="shared" ref="O55:O63" si="27">4*E55/F55</f>
        <v>0.74849533479420549</v>
      </c>
    </row>
    <row r="56" spans="1:15" s="3" customFormat="1" x14ac:dyDescent="0.2">
      <c r="A56" s="385" t="s">
        <v>67</v>
      </c>
      <c r="B56" s="385"/>
      <c r="C56" s="15">
        <f>'Проект_Меню ХЭХ ЖКТ'!D85</f>
        <v>4.5570000000000004</v>
      </c>
      <c r="D56" s="15">
        <f>'Проект_Меню ХЭХ ЖКТ'!E85</f>
        <v>3.3769999999999998</v>
      </c>
      <c r="E56" s="15">
        <f>'Проект_Меню ХЭХ ЖКТ'!F85</f>
        <v>38.256</v>
      </c>
      <c r="F56" s="15">
        <f>'Проект_Меню ХЭХ ЖКТ'!G85</f>
        <v>204.77</v>
      </c>
      <c r="H56" s="9">
        <f t="shared" si="21"/>
        <v>5.918181818181819E-2</v>
      </c>
      <c r="I56" s="9">
        <f t="shared" si="22"/>
        <v>4.2746835443037971E-2</v>
      </c>
      <c r="J56" s="9">
        <f t="shared" si="23"/>
        <v>0.11419701492537314</v>
      </c>
      <c r="K56" s="9">
        <f t="shared" si="24"/>
        <v>8.7136170212765957E-2</v>
      </c>
      <c r="M56" s="9">
        <f t="shared" si="25"/>
        <v>8.9016945841676035E-2</v>
      </c>
      <c r="N56" s="9">
        <f t="shared" si="26"/>
        <v>0.1484250622649802</v>
      </c>
      <c r="O56" s="9">
        <f t="shared" si="27"/>
        <v>0.74729696732919859</v>
      </c>
    </row>
    <row r="57" spans="1:15" s="3" customFormat="1" x14ac:dyDescent="0.2">
      <c r="A57" s="386" t="s">
        <v>68</v>
      </c>
      <c r="B57" s="386"/>
      <c r="C57" s="15">
        <f>'Проект_Меню ХЭХ ЖКТ'!D114</f>
        <v>9.5890000000000004</v>
      </c>
      <c r="D57" s="15">
        <f>'Проект_Меню ХЭХ ЖКТ'!E114</f>
        <v>5.4909999999999997</v>
      </c>
      <c r="E57" s="15">
        <f>'Проект_Меню ХЭХ ЖКТ'!F114</f>
        <v>27.021999999999998</v>
      </c>
      <c r="F57" s="15">
        <f>'Проект_Меню ХЭХ ЖКТ'!G114</f>
        <v>198.988</v>
      </c>
      <c r="H57" s="9">
        <f t="shared" si="21"/>
        <v>0.12453246753246754</v>
      </c>
      <c r="I57" s="9">
        <f t="shared" si="22"/>
        <v>6.9506329113924042E-2</v>
      </c>
      <c r="J57" s="9">
        <f t="shared" si="23"/>
        <v>8.0662686567164174E-2</v>
      </c>
      <c r="K57" s="9">
        <f t="shared" si="24"/>
        <v>8.4675744680851067E-2</v>
      </c>
      <c r="M57" s="9">
        <f t="shared" si="25"/>
        <v>0.19275534203067524</v>
      </c>
      <c r="N57" s="9">
        <f t="shared" si="26"/>
        <v>0.24835165939654652</v>
      </c>
      <c r="O57" s="9">
        <f t="shared" si="27"/>
        <v>0.54318853398194866</v>
      </c>
    </row>
    <row r="58" spans="1:15" s="3" customFormat="1" x14ac:dyDescent="0.2">
      <c r="A58" s="385" t="s">
        <v>69</v>
      </c>
      <c r="B58" s="385"/>
      <c r="C58" s="15">
        <f>'Проект_Меню ХЭХ ЖКТ'!D141</f>
        <v>22.497</v>
      </c>
      <c r="D58" s="15">
        <f>'Проект_Меню ХЭХ ЖКТ'!E141</f>
        <v>15.412000000000001</v>
      </c>
      <c r="E58" s="15">
        <f>'Проект_Меню ХЭХ ЖКТ'!F141</f>
        <v>31.73</v>
      </c>
      <c r="F58" s="15">
        <f>'Проект_Меню ХЭХ ЖКТ'!G141</f>
        <v>362.34199999999998</v>
      </c>
      <c r="H58" s="9">
        <f t="shared" si="21"/>
        <v>0.29216883116883119</v>
      </c>
      <c r="I58" s="9">
        <f t="shared" si="22"/>
        <v>0.19508860759493671</v>
      </c>
      <c r="J58" s="9">
        <f t="shared" si="23"/>
        <v>9.4716417910447756E-2</v>
      </c>
      <c r="K58" s="9">
        <f t="shared" si="24"/>
        <v>0.15418808510638296</v>
      </c>
      <c r="M58" s="9">
        <f t="shared" si="25"/>
        <v>0.24835100540373461</v>
      </c>
      <c r="N58" s="9">
        <f t="shared" si="26"/>
        <v>0.38280961080967707</v>
      </c>
      <c r="O58" s="9">
        <f t="shared" si="27"/>
        <v>0.35027681030628527</v>
      </c>
    </row>
    <row r="59" spans="1:15" s="3" customFormat="1" x14ac:dyDescent="0.2">
      <c r="A59" s="385" t="s">
        <v>70</v>
      </c>
      <c r="B59" s="385"/>
      <c r="C59" s="15">
        <f>'Проект_Меню ХЭХ ЖКТ'!D169</f>
        <v>4.5570000000000004</v>
      </c>
      <c r="D59" s="15">
        <f>'Проект_Меню ХЭХ ЖКТ'!E169</f>
        <v>3.3769999999999998</v>
      </c>
      <c r="E59" s="15">
        <f>'Проект_Меню ХЭХ ЖКТ'!F169</f>
        <v>38.256</v>
      </c>
      <c r="F59" s="15">
        <f>'Проект_Меню ХЭХ ЖКТ'!G169</f>
        <v>204.77</v>
      </c>
      <c r="H59" s="9">
        <f t="shared" si="21"/>
        <v>5.918181818181819E-2</v>
      </c>
      <c r="I59" s="9">
        <f t="shared" si="22"/>
        <v>4.2746835443037971E-2</v>
      </c>
      <c r="J59" s="9">
        <f t="shared" si="23"/>
        <v>0.11419701492537314</v>
      </c>
      <c r="K59" s="9">
        <f t="shared" si="24"/>
        <v>8.7136170212765957E-2</v>
      </c>
      <c r="M59" s="9">
        <f t="shared" si="25"/>
        <v>8.9016945841676035E-2</v>
      </c>
      <c r="N59" s="9">
        <f t="shared" si="26"/>
        <v>0.1484250622649802</v>
      </c>
      <c r="O59" s="9">
        <f t="shared" si="27"/>
        <v>0.74729696732919859</v>
      </c>
    </row>
    <row r="60" spans="1:15" s="3" customFormat="1" x14ac:dyDescent="0.2">
      <c r="A60" s="385" t="s">
        <v>71</v>
      </c>
      <c r="B60" s="385"/>
      <c r="C60" s="15">
        <f>'Проект_Меню ХЭХ ЖКТ'!D198</f>
        <v>24.454999999999998</v>
      </c>
      <c r="D60" s="15">
        <f>'Проект_Меню ХЭХ ЖКТ'!E198</f>
        <v>15.381</v>
      </c>
      <c r="E60" s="15">
        <f>'Проект_Меню ХЭХ ЖКТ'!F198</f>
        <v>32.58</v>
      </c>
      <c r="F60" s="15">
        <f>'Проект_Меню ХЭХ ЖКТ'!G198</f>
        <v>374.02800000000002</v>
      </c>
      <c r="H60" s="9">
        <f t="shared" si="21"/>
        <v>0.3175974025974026</v>
      </c>
      <c r="I60" s="9">
        <f t="shared" si="22"/>
        <v>0.19469620253164557</v>
      </c>
      <c r="J60" s="9">
        <f t="shared" si="23"/>
        <v>9.7253731343283578E-2</v>
      </c>
      <c r="K60" s="9">
        <f t="shared" si="24"/>
        <v>0.15916085106382979</v>
      </c>
      <c r="M60" s="9">
        <f t="shared" si="25"/>
        <v>0.26153122226143494</v>
      </c>
      <c r="N60" s="9">
        <f t="shared" si="26"/>
        <v>0.37010330777374956</v>
      </c>
      <c r="O60" s="9">
        <f t="shared" si="27"/>
        <v>0.34842311270813947</v>
      </c>
    </row>
    <row r="61" spans="1:15" s="3" customFormat="1" x14ac:dyDescent="0.2">
      <c r="A61" s="385" t="s">
        <v>72</v>
      </c>
      <c r="B61" s="385"/>
      <c r="C61" s="15">
        <f>'Проект_Меню ХЭХ ЖКТ'!D228</f>
        <v>9.5890000000000004</v>
      </c>
      <c r="D61" s="15">
        <f>'Проект_Меню ХЭХ ЖКТ'!E228</f>
        <v>5.4909999999999997</v>
      </c>
      <c r="E61" s="15">
        <f>'Проект_Меню ХЭХ ЖКТ'!F228</f>
        <v>27.021999999999998</v>
      </c>
      <c r="F61" s="15">
        <f>'Проект_Меню ХЭХ ЖКТ'!G228</f>
        <v>198.988</v>
      </c>
      <c r="H61" s="9">
        <f t="shared" si="21"/>
        <v>0.12453246753246754</v>
      </c>
      <c r="I61" s="9">
        <f t="shared" si="22"/>
        <v>6.9506329113924042E-2</v>
      </c>
      <c r="J61" s="9">
        <f t="shared" si="23"/>
        <v>8.0662686567164174E-2</v>
      </c>
      <c r="K61" s="9">
        <f t="shared" si="24"/>
        <v>8.4675744680851067E-2</v>
      </c>
      <c r="M61" s="9">
        <f t="shared" si="25"/>
        <v>0.19275534203067524</v>
      </c>
      <c r="N61" s="9">
        <f t="shared" si="26"/>
        <v>0.24835165939654652</v>
      </c>
      <c r="O61" s="9">
        <f t="shared" si="27"/>
        <v>0.54318853398194866</v>
      </c>
    </row>
    <row r="62" spans="1:15" s="3" customFormat="1" x14ac:dyDescent="0.2">
      <c r="A62" s="386" t="s">
        <v>73</v>
      </c>
      <c r="B62" s="386"/>
      <c r="C62" s="15">
        <f>'Проект_Меню ХЭХ ЖКТ'!D255</f>
        <v>22.497</v>
      </c>
      <c r="D62" s="15">
        <f>'Проект_Меню ХЭХ ЖКТ'!E255</f>
        <v>15.412000000000001</v>
      </c>
      <c r="E62" s="15">
        <f>'Проект_Меню ХЭХ ЖКТ'!F255</f>
        <v>31.73</v>
      </c>
      <c r="F62" s="15">
        <f>'Проект_Меню ХЭХ ЖКТ'!G255</f>
        <v>362.34199999999998</v>
      </c>
      <c r="H62" s="9">
        <f t="shared" si="21"/>
        <v>0.29216883116883119</v>
      </c>
      <c r="I62" s="9">
        <f t="shared" si="22"/>
        <v>0.19508860759493671</v>
      </c>
      <c r="J62" s="9">
        <f t="shared" si="23"/>
        <v>9.4716417910447756E-2</v>
      </c>
      <c r="K62" s="9">
        <f t="shared" si="24"/>
        <v>0.15418808510638296</v>
      </c>
      <c r="M62" s="9">
        <f t="shared" si="25"/>
        <v>0.24835100540373461</v>
      </c>
      <c r="N62" s="9">
        <f t="shared" si="26"/>
        <v>0.38280961080967707</v>
      </c>
      <c r="O62" s="9">
        <f t="shared" si="27"/>
        <v>0.35027681030628527</v>
      </c>
    </row>
    <row r="63" spans="1:15" s="3" customFormat="1" x14ac:dyDescent="0.2">
      <c r="A63" s="385" t="s">
        <v>74</v>
      </c>
      <c r="B63" s="385"/>
      <c r="C63" s="15">
        <f>'Проект_Меню ХЭХ ЖКТ'!D284</f>
        <v>7.0129999999999999</v>
      </c>
      <c r="D63" s="15">
        <f>'Проект_Меню ХЭХ ЖКТ'!E284</f>
        <v>3.1709999999999998</v>
      </c>
      <c r="E63" s="15">
        <f>'Проект_Меню ХЭХ ЖКТ'!F284</f>
        <v>23.236999999999998</v>
      </c>
      <c r="F63" s="15">
        <f>'Проект_Меню ХЭХ ЖКТ'!G284</f>
        <v>152.66399999999999</v>
      </c>
      <c r="H63" s="9">
        <f t="shared" si="21"/>
        <v>9.1077922077922077E-2</v>
      </c>
      <c r="I63" s="9">
        <f t="shared" si="22"/>
        <v>4.013924050632911E-2</v>
      </c>
      <c r="J63" s="9">
        <f t="shared" si="23"/>
        <v>6.9364179104477605E-2</v>
      </c>
      <c r="K63" s="9">
        <f t="shared" si="24"/>
        <v>6.4963404255319143E-2</v>
      </c>
      <c r="M63" s="9">
        <f t="shared" si="25"/>
        <v>0.18374993449667246</v>
      </c>
      <c r="N63" s="9">
        <f t="shared" si="26"/>
        <v>0.1869399465492847</v>
      </c>
      <c r="O63" s="9">
        <f t="shared" si="27"/>
        <v>0.60884032908871777</v>
      </c>
    </row>
    <row r="64" spans="1:15" s="3" customFormat="1" x14ac:dyDescent="0.2">
      <c r="A64" s="385" t="s">
        <v>75</v>
      </c>
      <c r="B64" s="385"/>
      <c r="C64" s="10">
        <f>AVERAGE(C54:C63)</f>
        <v>13.108599999999999</v>
      </c>
      <c r="D64" s="10">
        <f>AVERAGE(D54:D63)</f>
        <v>8.6109000000000027</v>
      </c>
      <c r="E64" s="10">
        <f>AVERAGE(E54:E63)</f>
        <v>31.930700000000002</v>
      </c>
      <c r="F64" s="10">
        <f>AVERAGE(F54:F63)</f>
        <v>262.29400000000004</v>
      </c>
      <c r="H64" s="17">
        <f>AVERAGE(H54:H63)</f>
        <v>0.17024155844155844</v>
      </c>
      <c r="I64" s="17">
        <f>AVERAGE(I54:I63)</f>
        <v>0.10899873417721517</v>
      </c>
      <c r="J64" s="17">
        <f>AVERAGE(J54:J63)</f>
        <v>9.5315522388059681E-2</v>
      </c>
      <c r="K64" s="17">
        <f>AVERAGE(K54:K63)</f>
        <v>0.11161446808510637</v>
      </c>
      <c r="L64" s="11"/>
      <c r="M64" s="9">
        <f>AVERAGE(M54:M63)</f>
        <v>0.18299300312737787</v>
      </c>
      <c r="N64" s="9">
        <f>AVERAGE(N54:N63)</f>
        <v>0.26589860666977277</v>
      </c>
      <c r="O64" s="9">
        <f>AVERAGE(O54:O63)</f>
        <v>0.53375602101322139</v>
      </c>
    </row>
    <row r="65" spans="1:15" s="3" customFormat="1" x14ac:dyDescent="0.2"/>
    <row r="66" spans="1:15" s="3" customFormat="1" ht="18.75" customHeight="1" x14ac:dyDescent="0.2">
      <c r="A66" s="387" t="s">
        <v>79</v>
      </c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</row>
    <row r="67" spans="1:15" ht="21" customHeight="1" x14ac:dyDescent="0.2"/>
  </sheetData>
  <mergeCells count="71">
    <mergeCell ref="A64:B64"/>
    <mergeCell ref="A66:O66"/>
    <mergeCell ref="A2:O2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1:O51"/>
    <mergeCell ref="A52:B53"/>
    <mergeCell ref="C52:E52"/>
    <mergeCell ref="F52:F53"/>
    <mergeCell ref="H52:K52"/>
    <mergeCell ref="M52:O52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6:O36"/>
    <mergeCell ref="A37:B38"/>
    <mergeCell ref="C37:E37"/>
    <mergeCell ref="F37:F38"/>
    <mergeCell ref="H37:K37"/>
    <mergeCell ref="M37:O37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1:O21"/>
    <mergeCell ref="A22:B23"/>
    <mergeCell ref="C22:E22"/>
    <mergeCell ref="F22:F23"/>
    <mergeCell ref="H22:K22"/>
    <mergeCell ref="M22:O22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5:B5"/>
    <mergeCell ref="A6:O6"/>
    <mergeCell ref="A7:B8"/>
    <mergeCell ref="C7:E7"/>
    <mergeCell ref="F7:F8"/>
    <mergeCell ref="H7:K7"/>
    <mergeCell ref="M7:O7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Исх.меню </vt:lpstr>
      <vt:lpstr>Структура в сравнении</vt:lpstr>
      <vt:lpstr>Проект_Меню ХЭХ ЖКТ</vt:lpstr>
      <vt:lpstr>Соотношение ЭЦ</vt:lpstr>
      <vt:lpstr>'Исх.меню '!Область_печати</vt:lpstr>
      <vt:lpstr>'Проект_Меню ХЭХ ЖКТ'!Область_печати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Люда</cp:lastModifiedBy>
  <cp:lastPrinted>2021-09-29T14:25:26Z</cp:lastPrinted>
  <dcterms:created xsi:type="dcterms:W3CDTF">2021-09-14T15:58:19Z</dcterms:created>
  <dcterms:modified xsi:type="dcterms:W3CDTF">2024-10-20T18:55:50Z</dcterms:modified>
</cp:coreProperties>
</file>